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5521" windowWidth="10830" windowHeight="9855" tabRatio="817" activeTab="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08" sheetId="7" r:id="rId7"/>
    <sheet name="RREO-Anexo 09" sheetId="8" r:id="rId8"/>
    <sheet name="RREO-Anexo 10" sheetId="9" r:id="rId9"/>
    <sheet name="RREO-Anexo 11" sheetId="10" r:id="rId10"/>
    <sheet name="RREO-Anexo 12" sheetId="11" r:id="rId11"/>
    <sheet name="RREO-Anexo 13" sheetId="12" r:id="rId12"/>
    <sheet name="RREO-Anexo 14" sheetId="13" r:id="rId13"/>
  </sheets>
  <definedNames>
    <definedName name="_xlfn.IFERROR" hidden="1">#NAME?</definedName>
    <definedName name="_xlnm.Print_Area" localSheetId="0">'RREO-Anexo 01'!$A$1:$L$229</definedName>
    <definedName name="_xlnm.Print_Area" localSheetId="4">'RREO-Anexo 06'!$A$1:$H$249</definedName>
    <definedName name="_xlnm.Print_Area" localSheetId="6">'RREO-Anexo 08'!$A$1:$H$199</definedName>
    <definedName name="_xlnm.Print_Area" localSheetId="7">'RREO-Anexo 09'!$A$1:$F$41</definedName>
    <definedName name="_xlnm.Print_Area" localSheetId="8">'RREO-Anexo 10'!$A$1:$E$195</definedName>
    <definedName name="_xlnm.Print_Area" localSheetId="9">'RREO-Anexo 11'!$A$1:$H$48</definedName>
    <definedName name="_xlnm.Print_Area" localSheetId="10">'RREO-Anexo 12'!$1:$213</definedName>
    <definedName name="_xlnm.Print_Area" localSheetId="11">'RREO-Anexo 13'!$A$1:$L$85</definedName>
    <definedName name="_xlnm.Print_Area" localSheetId="12">'RREO-Anexo 14'!$A:$E</definedName>
    <definedName name="Cancela">#REF!,#REF!</definedName>
    <definedName name="fdsafs">#REF!,#REF!</definedName>
    <definedName name="fdsf">#REF!</definedName>
    <definedName name="Ganhos_e_perdas_de_receita" localSheetId="4">#REF!</definedName>
    <definedName name="Ganhos_e_Perdas_de_Receita_99" localSheetId="4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3">#REF!,#REF!</definedName>
    <definedName name="Planilha_1ÁreaTotal" localSheetId="4">#REF!,#REF!</definedName>
    <definedName name="Planilha_1ÁreaTotal" localSheetId="5">'RREO-Anexo 07'!#REF!,'RREO-Anexo 07'!$H$18:$L$28</definedName>
    <definedName name="Planilha_1ÁreaTotal" localSheetId="6">#REF!,#REF!</definedName>
    <definedName name="Planilha_1ÁreaTotal" localSheetId="7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3">#REF!</definedName>
    <definedName name="Planilha_1CabGráfico" localSheetId="4">#REF!</definedName>
    <definedName name="Planilha_1CabGráfico" localSheetId="5">'RREO-Anexo 07'!#REF!</definedName>
    <definedName name="Planilha_1CabGráfico" localSheetId="6">#REF!</definedName>
    <definedName name="Planilha_1CabGráfico" localSheetId="7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3">#REF!,#REF!</definedName>
    <definedName name="Planilha_1TítCols" localSheetId="4">#REF!,#REF!</definedName>
    <definedName name="Planilha_1TítCols" localSheetId="5">'RREO-Anexo 07'!#REF!,'RREO-Anexo 07'!#REF!</definedName>
    <definedName name="Planilha_1TítCols" localSheetId="6">#REF!,#REF!</definedName>
    <definedName name="Planilha_1TítCols" localSheetId="7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3">#REF!</definedName>
    <definedName name="Planilha_1TítLins" localSheetId="4">#REF!</definedName>
    <definedName name="Planilha_1TítLins" localSheetId="5">'RREO-Anexo 07'!#REF!</definedName>
    <definedName name="Planilha_1TítLins" localSheetId="6">#REF!</definedName>
    <definedName name="Planilha_1TítLins" localSheetId="7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4">#REF!,#REF!</definedName>
    <definedName name="Planilha_2ÁreaTotal" localSheetId="5">#REF!,#REF!</definedName>
    <definedName name="Planilha_2ÁreaTotal" localSheetId="6">#REF!,#REF!</definedName>
    <definedName name="Planilha_2ÁreaTotal" localSheetId="9">#REF!,#REF!</definedName>
    <definedName name="Planilha_2ÁreaTotal" localSheetId="10">#REF!,#REF!</definedName>
    <definedName name="Planilha_2ÁreaTotal">#REF!,#REF!</definedName>
    <definedName name="Planilha_2CabGráfico" localSheetId="4">#REF!</definedName>
    <definedName name="Planilha_2CabGráfico" localSheetId="5">#REF!</definedName>
    <definedName name="Planilha_2CabGráfico" localSheetId="6">#REF!</definedName>
    <definedName name="Planilha_2CabGráfico" localSheetId="10">#REF!</definedName>
    <definedName name="Planilha_2CabGráfico">#REF!</definedName>
    <definedName name="Planilha_2TítCols" localSheetId="4">#REF!,#REF!</definedName>
    <definedName name="Planilha_2TítCols" localSheetId="5">#REF!,#REF!</definedName>
    <definedName name="Planilha_2TítCols" localSheetId="6">#REF!,#REF!</definedName>
    <definedName name="Planilha_2TítCols" localSheetId="9">#REF!,#REF!</definedName>
    <definedName name="Planilha_2TítCols" localSheetId="10">#REF!,#REF!</definedName>
    <definedName name="Planilha_2TítCols">#REF!,#REF!</definedName>
    <definedName name="Planilha_2TítLins" localSheetId="4">#REF!</definedName>
    <definedName name="Planilha_2TítLins" localSheetId="5">#REF!</definedName>
    <definedName name="Planilha_2TítLins" localSheetId="6">#REF!</definedName>
    <definedName name="Planilha_2TítLins" localSheetId="10">#REF!</definedName>
    <definedName name="Planilha_2TítLins">#REF!</definedName>
    <definedName name="Planilha_3ÁreaTotal" localSheetId="4">#REF!,#REF!</definedName>
    <definedName name="Planilha_3ÁreaTotal" localSheetId="5">#REF!,#REF!</definedName>
    <definedName name="Planilha_3ÁreaTotal" localSheetId="6">#REF!,#REF!</definedName>
    <definedName name="Planilha_3ÁreaTotal" localSheetId="9">#REF!,#REF!</definedName>
    <definedName name="Planilha_3ÁreaTotal" localSheetId="10">#REF!,#REF!</definedName>
    <definedName name="Planilha_3ÁreaTotal">#REF!,#REF!</definedName>
    <definedName name="Planilha_3CabGráfico" localSheetId="4">#REF!</definedName>
    <definedName name="Planilha_3CabGráfico" localSheetId="5">#REF!</definedName>
    <definedName name="Planilha_3CabGráfico" localSheetId="6">#REF!</definedName>
    <definedName name="Planilha_3CabGráfico" localSheetId="10">#REF!</definedName>
    <definedName name="Planilha_3CabGráfico">#REF!</definedName>
    <definedName name="Planilha_3TítCols" localSheetId="4">#REF!,#REF!</definedName>
    <definedName name="Planilha_3TítCols" localSheetId="5">#REF!,#REF!</definedName>
    <definedName name="Planilha_3TítCols" localSheetId="6">#REF!,#REF!</definedName>
    <definedName name="Planilha_3TítCols" localSheetId="9">#REF!,#REF!</definedName>
    <definedName name="Planilha_3TítCols" localSheetId="10">#REF!,#REF!</definedName>
    <definedName name="Planilha_3TítCols">#REF!,#REF!</definedName>
    <definedName name="Planilha_3TítLins" localSheetId="4">#REF!</definedName>
    <definedName name="Planilha_3TítLins" localSheetId="5">#REF!</definedName>
    <definedName name="Planilha_3TítLins" localSheetId="6">#REF!</definedName>
    <definedName name="Planilha_3TítLins" localSheetId="10">#REF!</definedName>
    <definedName name="Planilha_3TítLins">#REF!</definedName>
    <definedName name="Planilha_4ÁreaTotal" localSheetId="4">#REF!,#REF!</definedName>
    <definedName name="Planilha_4ÁreaTotal" localSheetId="5">#REF!,#REF!</definedName>
    <definedName name="Planilha_4ÁreaTotal" localSheetId="6">#REF!,#REF!</definedName>
    <definedName name="Planilha_4ÁreaTotal" localSheetId="9">#REF!,#REF!</definedName>
    <definedName name="Planilha_4ÁreaTotal" localSheetId="10">#REF!,#REF!</definedName>
    <definedName name="Planilha_4ÁreaTotal">#REF!,#REF!</definedName>
    <definedName name="Planilha_4TítCols" localSheetId="4">#REF!,#REF!</definedName>
    <definedName name="Planilha_4TítCols" localSheetId="5">#REF!,#REF!</definedName>
    <definedName name="Planilha_4TítCols" localSheetId="6">#REF!,#REF!</definedName>
    <definedName name="Planilha_4TítCols" localSheetId="9">#REF!,#REF!</definedName>
    <definedName name="Planilha_4TítCols" localSheetId="10">#REF!,#REF!</definedName>
    <definedName name="Planilha_4TítCols">#REF!,#REF!</definedName>
    <definedName name="Planilha_Educação" localSheetId="9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4">#REF!</definedName>
    <definedName name="Tabela_10___Resultado_Primário_do_Governo_Central_em_1999" localSheetId="4">#REF!</definedName>
    <definedName name="Tabela_2___Contribuições_Previdenciárias" localSheetId="4">#REF!</definedName>
    <definedName name="Tabela_3___Benefícios__previsto_x_realizado" localSheetId="4">#REF!</definedName>
    <definedName name="Tabela_4___Receitas_Administradas_pela_SRF__previsto_x_realizado" localSheetId="4">#REF!</definedName>
    <definedName name="Tabela_5___Receitas_Administradas_em_Agosto" localSheetId="4">#REF!</definedName>
    <definedName name="Tabela_6___Receitas_Diretamente_Arrecadadas" localSheetId="4">#REF!</definedName>
    <definedName name="Tabela_7___Déficit_da_Previdência_Social_em_1999" localSheetId="4">#REF!</definedName>
    <definedName name="Tabela_8___Receitas_Administradas__revisão_da_previsão" localSheetId="4">#REF!</definedName>
    <definedName name="Tabela_9___Resultado_Primário_de_1999" localSheetId="4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<sst xmlns="http://schemas.openxmlformats.org/spreadsheetml/2006/main" count="2084" uniqueCount="1081">
  <si>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</si>
  <si>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</si>
  <si>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</si>
  <si>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</si>
  <si>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RREO - Anexo XVIII (LRF, Art. 48)</t>
  </si>
  <si>
    <t>&lt;EXERCÍCIO ANTERIOR&gt;</t>
  </si>
  <si>
    <t>a Pagar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</si>
  <si>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</si>
  <si>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</si>
  <si>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</si>
  <si>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</si>
  <si>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</si>
  <si>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</si>
  <si>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</si>
  <si>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</si>
  <si>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</si>
  <si>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</si>
  <si>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</si>
  <si>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</si>
  <si>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</si>
  <si>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</si>
  <si>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</si>
  <si>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</si>
  <si>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</si>
  <si>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</si>
  <si>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</si>
  <si>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</si>
  <si>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</si>
  <si>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</si>
  <si>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</si>
  <si>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</si>
  <si>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</si>
  <si>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</si>
  <si>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</si>
  <si>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</si>
  <si>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SUBTOTAL COM REFINANCIAMENTO (V) = (III + IV)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</si>
  <si>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</si>
  <si>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</si>
  <si>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</si>
  <si>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</si>
  <si>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</si>
  <si>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</si>
  <si>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</si>
  <si>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</si>
  <si>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</si>
  <si>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</si>
  <si>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RECEITAS E DESPESAS DOS REGIMES DE PREVIDÊNCIA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</si>
  <si>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</si>
  <si>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</si>
  <si>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</si>
  <si>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</si>
  <si>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</si>
  <si>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</si>
  <si>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</si>
  <si>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</si>
  <si>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</si>
  <si>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</si>
  <si>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</si>
  <si>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</si>
  <si>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</si>
  <si>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</si>
  <si>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</si>
  <si>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</si>
  <si>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</si>
  <si>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</si>
  <si>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</si>
  <si>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RESTOS A PAGAR (EXCETO INTRA-ORÇAMENTÁRIOS) (I)</t>
  </si>
  <si>
    <t>RESTOS A PAGAR (INTRA-ORÇAMENTÁRIOS) (II)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</si>
  <si>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</si>
  <si>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</si>
  <si>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</si>
  <si>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</si>
  <si>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</si>
  <si>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</si>
  <si>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</si>
  <si>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</si>
  <si>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</si>
  <si>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</si>
  <si>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</si>
  <si>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</si>
  <si>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</si>
  <si>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</si>
  <si>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</si>
  <si>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</si>
  <si>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</si>
  <si>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</si>
  <si>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</si>
  <si>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</si>
  <si>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</si>
  <si>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</si>
  <si>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</si>
  <si>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</si>
  <si>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</si>
  <si>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</si>
  <si>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</si>
  <si>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</si>
  <si>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</si>
  <si>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</si>
  <si>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</si>
  <si>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</si>
  <si>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</si>
  <si>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</si>
  <si>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</si>
  <si>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</si>
  <si>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</si>
  <si>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</si>
  <si>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</si>
  <si>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</si>
  <si>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</si>
  <si>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</si>
  <si>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</si>
  <si>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</si>
  <si>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</si>
  <si>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</si>
  <si>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</si>
  <si>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</si>
  <si>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</si>
  <si>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</si>
  <si>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</si>
  <si>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(ÚLTIMOS</t>
  </si>
  <si>
    <t>12 MESES)</t>
  </si>
  <si>
    <t>&lt;EXERCÍCIO&gt;</t>
  </si>
  <si>
    <t>RECEITAS CORRENTES (I)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</si>
  <si>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</si>
  <si>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</si>
  <si>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</si>
  <si>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</si>
  <si>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</si>
  <si>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</si>
  <si>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</si>
  <si>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</si>
  <si>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</si>
  <si>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</si>
  <si>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</si>
  <si>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</si>
  <si>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</si>
  <si>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</si>
  <si>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</si>
  <si>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</si>
  <si>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</si>
  <si>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 xml:space="preserve">
ESPECIFICAÇÃO</t>
  </si>
  <si>
    <t>REGISTROS EFETUADOS EM &lt;EXERCÍCIO&gt;</t>
  </si>
  <si>
    <t>TOTAL DE ATIVOS</t>
  </si>
  <si>
    <t xml:space="preserve">    Provisões de PPP</t>
  </si>
  <si>
    <t>DESPESAS DE PPP</t>
  </si>
  <si>
    <t>DEMONSTRATIVO DAS PARCERIAS PÚBLICO-PRIVADAS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</si>
  <si>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</si>
  <si>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</si>
  <si>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</si>
  <si>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</si>
  <si>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</si>
  <si>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</si>
  <si>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</si>
  <si>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</si>
  <si>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</si>
  <si>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</si>
  <si>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</si>
  <si>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</si>
  <si>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>DEMONSTRATIVO DOS RESTOS A PAGAR POR PODER E ÓRGÃO</t>
  </si>
  <si>
    <t>Inscritos</t>
  </si>
  <si>
    <t>PODER/ÓRGÃO</t>
  </si>
  <si>
    <t>Cancelados</t>
  </si>
  <si>
    <t>Pagos</t>
  </si>
  <si>
    <t>Anteriores</t>
  </si>
  <si>
    <t>&lt;Exercício</t>
  </si>
  <si>
    <t>Anterior&gt;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</si>
  <si>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</si>
  <si>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</si>
  <si>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</si>
  <si>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</si>
  <si>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</si>
  <si>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</si>
  <si>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</si>
  <si>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</si>
  <si>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</si>
  <si>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</si>
  <si>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</si>
  <si>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</si>
  <si>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</si>
  <si>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</si>
  <si>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</si>
  <si>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</si>
  <si>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</si>
  <si>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</si>
  <si>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</si>
  <si>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</si>
  <si>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</si>
  <si>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</si>
  <si>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</si>
  <si>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>DEMONSTRATIVO DAS RECEITAS E DESPESAS COM MANUTENÇÃO E DESENVOLVIMENTO DO ENSINO - MDE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</si>
  <si>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</si>
  <si>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</si>
  <si>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</si>
  <si>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</si>
  <si>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</si>
  <si>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</si>
  <si>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</si>
  <si>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</si>
  <si>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</si>
  <si>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</si>
  <si>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</si>
  <si>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</si>
  <si>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</si>
  <si>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Próprio dos Servidores Públicos</t>
  </si>
  <si>
    <t>SALDO ATUAL</t>
  </si>
  <si>
    <t>SALDO FINANCEIRO A APLICAR</t>
  </si>
  <si>
    <t xml:space="preserve">    Inversões Financeiras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</si>
  <si>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</si>
  <si>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</si>
  <si>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</si>
  <si>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</si>
  <si>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</si>
  <si>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</si>
  <si>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</si>
  <si>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</si>
  <si>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</si>
  <si>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</si>
  <si>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</si>
  <si>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</si>
  <si>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</si>
  <si>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</si>
  <si>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</si>
  <si>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</si>
  <si>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</si>
  <si>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</si>
  <si>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</si>
  <si>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</si>
  <si>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</si>
  <si>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RECEITA CORRENTE LÍQUIDA - RCL</t>
  </si>
  <si>
    <t>Receita Corrente Líquida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</si>
  <si>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</si>
  <si>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</si>
  <si>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</si>
  <si>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</si>
  <si>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</si>
  <si>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</si>
  <si>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</si>
  <si>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</si>
  <si>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</si>
  <si>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</si>
  <si>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</si>
  <si>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</si>
  <si>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</si>
  <si>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</si>
  <si>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</si>
  <si>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</si>
  <si>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</si>
  <si>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</si>
  <si>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</si>
  <si>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</si>
  <si>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</si>
  <si>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</si>
  <si>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</si>
  <si>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</si>
  <si>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</si>
  <si>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</si>
  <si>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</si>
  <si>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</si>
  <si>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</si>
  <si>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</si>
  <si>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</si>
  <si>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</si>
  <si>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</si>
  <si>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</si>
  <si>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</si>
  <si>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</si>
  <si>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</si>
  <si>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</si>
  <si>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</si>
  <si>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</si>
  <si>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</si>
  <si>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</si>
  <si>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</si>
  <si>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</si>
  <si>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</si>
  <si>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</si>
  <si>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</si>
  <si>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</si>
  <si>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</si>
  <si>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</si>
  <si>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</si>
  <si>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</si>
  <si>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</si>
  <si>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</si>
  <si>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</si>
  <si>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</si>
  <si>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</si>
  <si>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</si>
  <si>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</si>
  <si>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</si>
  <si>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</si>
  <si>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</si>
  <si>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</si>
  <si>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</si>
  <si>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</si>
  <si>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</si>
  <si>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</si>
  <si>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</si>
  <si>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</si>
  <si>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</si>
  <si>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</si>
  <si>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</si>
  <si>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</si>
  <si>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</si>
  <si>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</si>
  <si>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</si>
  <si>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</si>
  <si>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</si>
  <si>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</si>
  <si>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</si>
  <si>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</si>
  <si>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</si>
  <si>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</si>
  <si>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</si>
  <si>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>RECEITA RESULTANTE DE IMPOSTOS (caput do art. 212 da Constituição)</t>
  </si>
  <si>
    <t xml:space="preserve">2- RECEITA DE TRANSFERÊNCIAS CONSTITUCIONAIS E LEGAIS 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</si>
  <si>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</si>
  <si>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</si>
  <si>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</si>
  <si>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</si>
  <si>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</si>
  <si>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</si>
  <si>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</si>
  <si>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</si>
  <si>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</si>
  <si>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</si>
  <si>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</si>
  <si>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</si>
  <si>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(i)</t>
  </si>
  <si>
    <t>RREO - Anexo 1 (LRF, Art. 52, inciso I, alíneas "a" e "b" do inciso II e §1º)</t>
  </si>
  <si>
    <t>RECEITAS (EXCETO INTRA-ORÇAMENTÁRIAS) (I)</t>
  </si>
  <si>
    <t>OPERAÇÕES DE CRÉDITO / REFINANCIAMENTO  (IV)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</si>
  <si>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</si>
  <si>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</si>
  <si>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</si>
  <si>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</si>
  <si>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7 - Demonstrativo dos Restos a Pagar por Poder e Órgão</t>
  </si>
  <si>
    <t>RREO - ANEXO 7 (LRF, art. 53, inciso 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</si>
  <si>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</si>
  <si>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</si>
  <si>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</si>
  <si>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</si>
  <si>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</si>
  <si>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</si>
  <si>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</si>
  <si>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</si>
  <si>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</si>
  <si>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</si>
  <si>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DESPESAS COM SAÚDE NÃO COMPUTADAS PARA FINS DE APURAÇÃO DO PERCENTUAL MÍNIMO</t>
  </si>
  <si>
    <t>Inscritos em &lt;Exercício de Referência&gt;</t>
  </si>
  <si>
    <t>(m)</t>
  </si>
  <si>
    <t>DEMONSTRATIVO DAS RECEITAS E DESPESAS COM AÇÕES E SERVIÇOS PÚBLICOS DE SAÚDE</t>
  </si>
  <si>
    <t>RECEITAS PARA APURAÇÃO DA APLICAÇÃO EM AÇÕES E SERVIÇOS PÚBLICOS DE SAÚDE</t>
  </si>
  <si>
    <t xml:space="preserve">   Provenientes da União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</si>
  <si>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</si>
  <si>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</si>
  <si>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</si>
  <si>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</si>
  <si>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</si>
  <si>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</si>
  <si>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</si>
  <si>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</si>
  <si>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</si>
  <si>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</si>
  <si>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</si>
  <si>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</si>
  <si>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</si>
  <si>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</si>
  <si>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</si>
  <si>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</si>
  <si>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</si>
  <si>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</si>
  <si>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</si>
  <si>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</si>
  <si>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</si>
  <si>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</si>
  <si>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</si>
  <si>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</si>
  <si>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</si>
  <si>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</si>
  <si>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</si>
  <si>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</si>
  <si>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</si>
  <si>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</si>
  <si>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</si>
  <si>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</si>
  <si>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</si>
  <si>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</si>
  <si>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</si>
  <si>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</si>
  <si>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</si>
  <si>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</si>
  <si>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</si>
  <si>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</si>
  <si>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</si>
  <si>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</si>
  <si>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</si>
  <si>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</si>
  <si>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</si>
  <si>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</si>
  <si>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</si>
  <si>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</si>
  <si>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</si>
  <si>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</si>
  <si>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</si>
  <si>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</si>
  <si>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</si>
  <si>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</si>
  <si>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</si>
  <si>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</si>
  <si>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</si>
  <si>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</si>
  <si>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</si>
  <si>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</si>
  <si>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</si>
  <si>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</si>
  <si>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</si>
  <si>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</si>
  <si>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</si>
  <si>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</si>
  <si>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</si>
  <si>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</si>
  <si>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</si>
  <si>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</si>
  <si>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</si>
  <si>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</si>
  <si>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</si>
  <si>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</si>
  <si>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</si>
  <si>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</si>
  <si>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</si>
  <si>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</si>
  <si>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</si>
  <si>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</si>
  <si>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</si>
  <si>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</si>
  <si>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</si>
  <si>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</si>
  <si>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</si>
  <si>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</si>
  <si>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</si>
  <si>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</si>
  <si>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</si>
  <si>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</si>
  <si>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</si>
  <si>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</si>
  <si>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</si>
  <si>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</si>
  <si>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</si>
  <si>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</si>
  <si>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</si>
  <si>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</si>
  <si>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</si>
  <si>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</si>
  <si>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</si>
  <si>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</si>
  <si>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</si>
  <si>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</si>
  <si>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</si>
  <si>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</si>
  <si>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</si>
  <si>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</si>
  <si>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</si>
  <si>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</si>
  <si>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</si>
  <si>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</si>
  <si>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RECEITAS DE ALIENAÇÃO DE ATIVOS (I)</t>
  </si>
  <si>
    <t>PREVISÃO INICIAL</t>
  </si>
  <si>
    <t>1 Essa coluna poderá ser apresentada somente no último bimestre</t>
  </si>
  <si>
    <t>Saldo</t>
  </si>
  <si>
    <t>Liquidados</t>
  </si>
  <si>
    <t xml:space="preserve">DOTAÇÃO </t>
  </si>
  <si>
    <t xml:space="preserve">DESPESAS </t>
  </si>
  <si>
    <t>EMPENHADAS</t>
  </si>
  <si>
    <t>(f) = (d – e)</t>
  </si>
  <si>
    <t>Despesas com Ações e Serviços Públicos de Saúde executadas com recursos de impostos</t>
  </si>
  <si>
    <t xml:space="preserve"> Em &lt;Exercício&gt;</t>
  </si>
  <si>
    <t>Em &lt;Exercício Anterior&gt;</t>
  </si>
  <si>
    <t>APORTES REALIZADOS</t>
  </si>
  <si>
    <t>DEDUÇÕES PARA FINS DO LIMITE DO FUNDEB</t>
  </si>
  <si>
    <t>INDICADORES DO FUNDEB</t>
  </si>
  <si>
    <t>FLUXO FINANCEIRO DOS RECURSOS DO FUNDEB</t>
  </si>
  <si>
    <t>Inscritos em &lt;Exercício de Referência - 4&gt;</t>
  </si>
  <si>
    <t>RECEITA DE TRANSFERÊNCIAS CONSTITUCIONAIS E LEGAIS (II)</t>
  </si>
  <si>
    <t>(h) = (g/d)x100</t>
  </si>
  <si>
    <t>Saldo Total (a+b)</t>
  </si>
  <si>
    <t>3- TOTAL DA RECEITA DE IMPOSTOS (1 + 2)</t>
  </si>
  <si>
    <t>PODER EXECUTIVO</t>
  </si>
  <si>
    <t>RESTOS A PAGAR PROCESSADOS E NÃO PROCESSADOS LIQUIDADOS EM EXERCÍCIOS ANTERIORES</t>
  </si>
  <si>
    <t>PODER LEGISLATIVO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</si>
  <si>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</si>
  <si>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</si>
  <si>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</si>
  <si>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</si>
  <si>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</si>
  <si>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OUTRAS DESPESAS CUSTEADAS COM RECEITAS ADICIONAIS PARA FINANCIAMENTO DO ENSINO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</si>
  <si>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</si>
  <si>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</si>
  <si>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</si>
  <si>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</si>
  <si>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</si>
  <si>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</si>
  <si>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</si>
  <si>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</si>
  <si>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</si>
  <si>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</si>
  <si>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</si>
  <si>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</si>
  <si>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</si>
  <si>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</si>
  <si>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</si>
  <si>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</si>
  <si>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</si>
  <si>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</si>
  <si>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</si>
  <si>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</si>
  <si>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</si>
  <si>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</si>
  <si>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</si>
  <si>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</si>
  <si>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</si>
  <si>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</si>
  <si>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</si>
  <si>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</si>
  <si>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</si>
  <si>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</si>
  <si>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</si>
  <si>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</si>
  <si>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</si>
  <si>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</si>
  <si>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</si>
  <si>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</si>
  <si>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</si>
  <si>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</si>
  <si>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</si>
  <si>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</si>
  <si>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</si>
  <si>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</si>
  <si>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</si>
  <si>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</si>
  <si>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</si>
  <si>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</si>
  <si>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</si>
  <si>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</si>
  <si>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</si>
  <si>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</si>
  <si>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</si>
  <si>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</si>
  <si>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</si>
  <si>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</si>
  <si>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</si>
  <si>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1.3.1- ISS</t>
  </si>
  <si>
    <t xml:space="preserve">    1.3- Receita Resultante do Imposto sobre Serviços de Qualquer Natureza – ISS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</si>
  <si>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</si>
  <si>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</si>
  <si>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</si>
  <si>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</si>
  <si>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</si>
  <si>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</si>
  <si>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</si>
  <si>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</si>
  <si>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</si>
  <si>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</si>
  <si>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</si>
  <si>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Provenientes dos Estados</t>
  </si>
  <si>
    <t xml:space="preserve">   Provenientes de Outros Municípios</t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</si>
  <si>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</si>
  <si>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</si>
  <si>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</si>
  <si>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</si>
  <si>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</si>
  <si>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</si>
  <si>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</si>
  <si>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DÉFICIT (VII)</t>
  </si>
  <si>
    <t>TOTAL (VIII) = (V + VI + VII)</t>
  </si>
  <si>
    <t>DESPESAS (EXCETO INTRA-ORÇAMENTÁRIAS) (IX)</t>
  </si>
  <si>
    <t>DESPESAS (INTRA-ORÇAMENTÁRIAS) (X)</t>
  </si>
  <si>
    <t>SUBTOTAL DAS DESPESAS (XI) = (IX + X)</t>
  </si>
  <si>
    <t>AMORTIZAÇÃO DA DÍV. / REFINANCIAMENTO (XII)</t>
  </si>
  <si>
    <t>SUBTOTAL C/ REFINANCIAMENTO (XIII) = (XI + XII)</t>
  </si>
  <si>
    <t>SUPERÁVIT (XIV)</t>
  </si>
  <si>
    <t>TOTAL (XV) = (XIII + XIV)</t>
  </si>
  <si>
    <t>RECEITAS INTRA-ORÇAMENTÁRIAS</t>
  </si>
  <si>
    <t>DESPESAS INTRA-ORÇAMENTÁRIAS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</si>
  <si>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</si>
  <si>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</si>
  <si>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</si>
  <si>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(g) = (e-f) </t>
  </si>
  <si>
    <t>(i) = (e-h)</t>
  </si>
  <si>
    <t>(g) = (e-f)</t>
  </si>
  <si>
    <t>INSCRITAS EM RESTOS A PAGAR NÃO PROCESSADOS                          (k)</t>
  </si>
  <si>
    <t>(e) = (a-d)</t>
  </si>
  <si>
    <t>(d/total d)</t>
  </si>
  <si>
    <t xml:space="preserve">  Despesas Pagas</t>
  </si>
  <si>
    <t>Pagamento</t>
  </si>
  <si>
    <t>PAGAMENTO</t>
  </si>
  <si>
    <t>DE RESTOS A PAGAR</t>
  </si>
  <si>
    <t>PAGAS</t>
  </si>
  <si>
    <t>DESPESAS                                                    (e)</t>
  </si>
  <si>
    <t xml:space="preserve">    Demais Haveres Financeiros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</si>
  <si>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</si>
  <si>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</si>
  <si>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</si>
  <si>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</si>
  <si>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 xml:space="preserve">    Investimentos</t>
  </si>
  <si>
    <t>Tabela 6 - Demonstrativo do Resultado Primário</t>
  </si>
  <si>
    <t>RREO - ANEXO 6 (LRF, art 53, inciso III)</t>
  </si>
  <si>
    <t>Em reais</t>
  </si>
  <si>
    <t>RECEITAS PRIMÁRIAS</t>
  </si>
  <si>
    <t>DESPESAS PRIMÁRIAS</t>
  </si>
  <si>
    <t xml:space="preserve">        Demais Inversões Financeiras</t>
  </si>
  <si>
    <t>DESPESA PRIMÁRIA TOTAL (XVIII) = (X + XV + XVI + XVII)</t>
  </si>
  <si>
    <t xml:space="preserve">RESULTADO PRIMÁRIO (XIX) = (VII - XVIII) 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</si>
  <si>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</si>
  <si>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</si>
  <si>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</si>
  <si>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</si>
  <si>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</si>
  <si>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</si>
  <si>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</si>
  <si>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</si>
  <si>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</si>
  <si>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</si>
  <si>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</si>
  <si>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 xml:space="preserve">        2.1.3- Parcela referente à CF, art. 159, I, alínea e</t>
  </si>
  <si>
    <t>Educação Básica</t>
  </si>
  <si>
    <t xml:space="preserve">Em </t>
  </si>
  <si>
    <t xml:space="preserve"> Em</t>
  </si>
  <si>
    <t xml:space="preserve"> &lt;Exercício&gt;</t>
  </si>
  <si>
    <t>Em 31 de dezembro de &lt;Exercício Anterior&gt;</t>
  </si>
  <si>
    <t>Em Exercícios Anteriores</t>
  </si>
  <si>
    <t xml:space="preserve">        Câmara Municipal </t>
  </si>
  <si>
    <t xml:space="preserve">        Tribunal de Contas do Município </t>
  </si>
  <si>
    <t>DO EXERCÍCIO</t>
  </si>
  <si>
    <t>DESPESAS INSCRITAS EM RESTOS A PAGAR NÃO PROCESSADOS</t>
  </si>
  <si>
    <t>Inscritos em &lt;Exercício de Referência - 1&gt;</t>
  </si>
  <si>
    <t>Inscritos em &lt;Exercício de Referência - 2&gt;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</si>
  <si>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</si>
  <si>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t>Notas: 1 Projeção atuarial elaborada em &lt;DATA DA AVALIAÇÃO&gt; e oficialmente enviada para o Ministério da Previdência Social – MPS.</t>
  </si>
  <si>
    <t>CANCELADO  (j)</t>
  </si>
  <si>
    <t>Promoção da Produção Agropecuária</t>
  </si>
  <si>
    <t>Defesa Agropecuária</t>
  </si>
  <si>
    <t>PODER/ÓRGÃO - INTRA</t>
  </si>
  <si>
    <t xml:space="preserve">    SALDOS DE EXERCÍCIOS ANTERIORES</t>
  </si>
  <si>
    <t xml:space="preserve">        Recursos Arrecadados em Exercícios Anteriores - RPPS</t>
  </si>
  <si>
    <t>RESERVA DO RPPS</t>
  </si>
  <si>
    <t xml:space="preserve">        Receita de Contribuições Patronais</t>
  </si>
  <si>
    <t xml:space="preserve">    RECEITAS CORRENTES (I)</t>
  </si>
  <si>
    <t>DEMONSTRATIVO DAS RECEITAS E DESPESAS PREVIDENCIÁRIAS DO REGIME PRÓPRIO DE PREVIDÊNCIA DOS SERVIDORES</t>
  </si>
  <si>
    <t>RECEITAS - PLANO FINANCEIRO</t>
  </si>
  <si>
    <t xml:space="preserve">        Benefícios - Civil</t>
  </si>
  <si>
    <t xml:space="preserve">        Benefícios - Militar</t>
  </si>
  <si>
    <t>DESPESAS - PLANO FINANCEIRO</t>
  </si>
  <si>
    <t xml:space="preserve">        VALOR</t>
  </si>
  <si>
    <t>RECEITAS - PLANO PREVIDENCIÁRIO</t>
  </si>
  <si>
    <t>DESPESAS - PLANO PREVIDENCIÁRIO</t>
  </si>
  <si>
    <t>RECURSOS ARRECADADOS EM EXERCÍCIOS ANTERIORES - PLANO PREVIDENCIÁRIO</t>
  </si>
  <si>
    <t>RESERVA ORÇAMENTÁRIA DO RPPS - PLANO PREVIDENCIÁRIO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</si>
  <si>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</si>
  <si>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</si>
  <si>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</si>
  <si>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</si>
  <si>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>APORTES DE RECURSOS PARA O RPPS - PLANO PREVIDENCIÁRIO</t>
  </si>
  <si>
    <t>BENS E DIREITOS DO RPPS - PLANO PREVIDENCIÁRIO</t>
  </si>
  <si>
    <t xml:space="preserve">  Recursos para Cobertura de Insuficiências Financeiras </t>
  </si>
  <si>
    <t xml:space="preserve">  Recursos para Formação de Reserva </t>
  </si>
  <si>
    <t>Caixa e Equivalente de Caixa</t>
  </si>
  <si>
    <t>Investimentos e Aplicações</t>
  </si>
  <si>
    <t>Outros Bens e Direitos</t>
  </si>
  <si>
    <t>APORTES DE RECURSOS PARA O RPPS - PLANO FINANCEIRO</t>
  </si>
  <si>
    <t xml:space="preserve">    Disponibilidade de Caixa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</si>
  <si>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</si>
  <si>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</si>
  <si>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</si>
  <si>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Outros Passivos</t>
  </si>
  <si>
    <t>ATOS POTENCIAIS PASSIVOS</t>
  </si>
  <si>
    <t xml:space="preserve">    Obrigações Contratuais</t>
  </si>
  <si>
    <t xml:space="preserve">        Defensoria Pública</t>
  </si>
  <si>
    <t>Tabela 4 - Demonstrativo das Receitas e Despesas Previdenciárias do Regime Próprio de Previdência dos Servidores</t>
  </si>
  <si>
    <t xml:space="preserve">       IMPOSTOS, TAXAS E CONTRIBUIÇÕES DE MELHORIA</t>
  </si>
  <si>
    <t xml:space="preserve">        CONTRIBUIÇÕES</t>
  </si>
  <si>
    <t xml:space="preserve">            Contribuições Econômicas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</si>
  <si>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</si>
  <si>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</si>
  <si>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</si>
  <si>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</si>
  <si>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Cessão de Direitos</t>
  </si>
  <si>
    <t xml:space="preserve">           Demais Receitas Patrimoniais</t>
  </si>
  <si>
    <t xml:space="preserve">            Serviços Administrativos e Comerciais Gerais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</si>
  <si>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</si>
  <si>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</si>
  <si>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</si>
  <si>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Transferências da União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</si>
  <si>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</si>
  <si>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</si>
  <si>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Multas Administrativas, Contratuais e Judiciais</t>
  </si>
  <si>
    <t xml:space="preserve">            Indenizações, Restituições e Ressarcimentos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</si>
  <si>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</si>
  <si>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</si>
  <si>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</si>
  <si>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Transferências da União e de suas Entidades</t>
  </si>
  <si>
    <t xml:space="preserve">            Remuneração das Disponibilidades do Tesouro</t>
  </si>
  <si>
    <t xml:space="preserve">            Resgate de Títulos do Tesouro</t>
  </si>
  <si>
    <t xml:space="preserve">           Demais Receitas de Capital       </t>
  </si>
  <si>
    <t xml:space="preserve">            Contribuições para Entidades Privadas de Serviço Social
           └ e de Formação Profissional</t>
  </si>
  <si>
    <t xml:space="preserve">            Contribuição para o Custeio do Serviço de Iluminação
           └ Pública</t>
  </si>
  <si>
    <t xml:space="preserve">           Delegação de Serviços Públicos Mediante Concessão,
           └ Permissão, Autorização ou Licença</t>
  </si>
  <si>
    <t xml:space="preserve">            Serviços e Atividades Referentes à Navegação e ao
           └ Transporte</t>
  </si>
  <si>
    <t xml:space="preserve">            Transferências dos Estados e do Distrito Federal e de
           └ suas Entidades</t>
  </si>
  <si>
    <t xml:space="preserve">             Transferências Provenientes de Depósitos Não 
           └ Identificados</t>
  </si>
  <si>
    <t xml:space="preserve">            Transferências Provenientes de Depósitos Não 
           └ Identificados</t>
  </si>
  <si>
    <t xml:space="preserve">        IMPOSTOS, TAXAS E CONTRIBUIÇÕES DE MELHORIA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</si>
  <si>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</si>
  <si>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</si>
  <si>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</si>
  <si>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</si>
  <si>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 xml:space="preserve">            Contribuição para o Custeio do Serviço de Iluminação 
           └ Pública</t>
  </si>
  <si>
    <t xml:space="preserve">            Delegação de Serviços Públicos Mediante Concessão, 
           └ Permissão, Autorização ou Licença</t>
  </si>
  <si>
    <t xml:space="preserve">            Serviços e Atividades Referentes à Navegação e ao 
           └ Transporte</t>
  </si>
  <si>
    <t xml:space="preserve">            Transferências da União e de 
           └ suas Entidades</t>
  </si>
  <si>
    <t xml:space="preserve">            Transferências dos Estados e do Distrito Federal e de 
           └ suas Entidades</t>
  </si>
  <si>
    <t xml:space="preserve">            Bens, Direitos e Valores Incorporados ao Patrimônio 
           └ Público</t>
  </si>
  <si>
    <t xml:space="preserve">           Transferências dos Estados e do Distrito Federal e de suas 
           └ Entidades</t>
  </si>
  <si>
    <t xml:space="preserve">            Transferências Provenientes de Depósitos Não
           └ Identificados</t>
  </si>
  <si>
    <t xml:space="preserve">        Rendimentos de Aplicação Financeira </t>
  </si>
  <si>
    <t xml:space="preserve">        Outras Receitas Patrimoniais </t>
  </si>
  <si>
    <t xml:space="preserve">   Impostos, Taxas e Contribuições de Melhoria </t>
  </si>
  <si>
    <t xml:space="preserve">         Outros Impostos, Taxas e Contribuições de Melhoria </t>
  </si>
  <si>
    <t xml:space="preserve">    Impostos, Taxas e Contribuições de Melhoria </t>
  </si>
  <si>
    <t xml:space="preserve">    Contribuições </t>
  </si>
  <si>
    <t xml:space="preserve">    Receita Patrimonial </t>
  </si>
  <si>
    <t xml:space="preserve">    Transferências Correntes </t>
  </si>
  <si>
    <t xml:space="preserve">    Demais Receitas Correntes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</si>
  <si>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</si>
  <si>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</si>
  <si>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</si>
  <si>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Transferências de Capital </t>
  </si>
  <si>
    <t xml:space="preserve">    Outras Receitas de Capital </t>
  </si>
  <si>
    <t xml:space="preserve">RECEITAS CORRENTES (I) </t>
  </si>
  <si>
    <t xml:space="preserve">          ISS </t>
  </si>
  <si>
    <t xml:space="preserve">          ITBI </t>
  </si>
  <si>
    <t xml:space="preserve">          IRRF </t>
  </si>
  <si>
    <t xml:space="preserve">  IPTU </t>
  </si>
  <si>
    <t xml:space="preserve">        Aplicações Financeiras (II) </t>
  </si>
  <si>
    <t xml:space="preserve">        Cota-Parte do FPM </t>
  </si>
  <si>
    <t xml:space="preserve">        Cota-Parte do ICMS</t>
  </si>
  <si>
    <t xml:space="preserve">        Cota-Parte do IPVA </t>
  </si>
  <si>
    <t xml:space="preserve">        Cota-Parte do ITR </t>
  </si>
  <si>
    <t xml:space="preserve">        Transferências da LC 87/1996 </t>
  </si>
  <si>
    <t xml:space="preserve">        Transferências da LC nº 61/1989 </t>
  </si>
  <si>
    <t xml:space="preserve">        Transferências do FUNDEB </t>
  </si>
  <si>
    <t xml:space="preserve">        Outras Transferências Correntes </t>
  </si>
  <si>
    <t xml:space="preserve">        Outras Receitas Financeiras (III) </t>
  </si>
  <si>
    <t xml:space="preserve">        Receitas Correntes Restantes </t>
  </si>
  <si>
    <t xml:space="preserve">RECEITAS PRIMÁRIAS CORRENTES (IV) = (I - II - III) </t>
  </si>
  <si>
    <t xml:space="preserve">RECEITAS DE CAPITAL (V) </t>
  </si>
  <si>
    <t xml:space="preserve">        Convênios </t>
  </si>
  <si>
    <t xml:space="preserve">        Outras Transferências de Capital </t>
  </si>
  <si>
    <t xml:space="preserve">        Outras Alienações de Bens </t>
  </si>
  <si>
    <t xml:space="preserve">        Receitas de Alienação de Investimentos Permanentes (IX) </t>
  </si>
  <si>
    <t xml:space="preserve">        Receitas de Alienação de Investimentos Temporários (VIII) </t>
  </si>
  <si>
    <t xml:space="preserve">        Outras Receitas de Capital Não Primárias (X) </t>
  </si>
  <si>
    <t xml:space="preserve">        Outras Receitas de Capital Primárias </t>
  </si>
  <si>
    <t xml:space="preserve">RECEITAS PRIMÁRIAS DE CAPITAL (XI) = (V - VI - VII - VIII - IX - X) </t>
  </si>
  <si>
    <t xml:space="preserve">RECEITA PRIMÁRIA TOTAL (XII) = (IV + XI) </t>
  </si>
  <si>
    <t xml:space="preserve">RESULTADO PRIMÁRIO - Acima da Linha (XXIV) = (XIIa - (XXIIIa  +     XXIIIb +  XXIIIc)) 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</si>
  <si>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</si>
  <si>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</si>
  <si>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</si>
  <si>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</si>
  <si>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</si>
  <si>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</si>
  <si>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Meta fixada no Anexo de Metas Fiscais da LDO para o exercício de referência</t>
  </si>
  <si>
    <t>ABAIXO DA LINHA</t>
  </si>
  <si>
    <t>CÁLCULO DO RESULTADO NOMINAL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</si>
  <si>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</si>
  <si>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</si>
  <si>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</si>
  <si>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</si>
  <si>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</si>
  <si>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</si>
  <si>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</si>
  <si>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</si>
  <si>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</si>
  <si>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</si>
  <si>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</si>
  <si>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RESERVA ORÇAMENTÁRIA DO RPPS</t>
  </si>
  <si>
    <t>RESULTADO PRIMÁRIO CONFORME MODELO DA 7ª EDIÇÃO DO MDF</t>
  </si>
  <si>
    <t>RECEITA PRIMÁRIA TOTAL  (VII) = (I + VI)</t>
  </si>
  <si>
    <t>DISCRIMINAÇÃO DA META FISCAL DE RESULTADO PRIMÁRIO</t>
  </si>
  <si>
    <t>RESULTADO NOMINAL CONFORME MODELO DA 7ª EDIÇÃO DO MDF</t>
  </si>
  <si>
    <t>DISCRIMINAÇÃO DA META FISCAL DE RESULTADO NOMINAL</t>
  </si>
  <si>
    <t>Em 31/Dez Exercício Anterior</t>
  </si>
  <si>
    <t>DOTAÇÃO 
ATUALIZADA</t>
  </si>
  <si>
    <t>DESPESAS 
EMPENHADAS</t>
  </si>
  <si>
    <t>RESTOS A PAGAR 
NÃO PROCESSADOS</t>
  </si>
  <si>
    <t>LIQUIDADOS</t>
  </si>
  <si>
    <t xml:space="preserve">PAGOS                     (c) </t>
  </si>
  <si>
    <t>DESPESAS 
PAGAS                     (a)</t>
  </si>
  <si>
    <t>RESTOS A PAGAR 
PROCESSADOS PAGOS                     (b)</t>
  </si>
  <si>
    <t>DESPESA PRIMÁRIA TOTAL (XXIII) = (XV + XXI + XXII)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</si>
  <si>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</si>
  <si>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</si>
  <si>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</si>
  <si>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</si>
  <si>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</si>
  <si>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</si>
  <si>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</si>
  <si>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</si>
  <si>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</si>
  <si>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</si>
  <si>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</si>
  <si>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</si>
  <si>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</si>
  <si>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          Outros Impostos, Taxas e Contribuições de Melhoria </t>
  </si>
  <si>
    <t xml:space="preserve">DESPESAS PAGAS </t>
  </si>
  <si>
    <t>INSCRITAS EM RESTOS A PAGAR NÃO PROCESSADOS (f)</t>
  </si>
  <si>
    <r>
      <t>INSCRITAS EM RESTOS A PAGAR NÃO PROCESSADOS</t>
    </r>
    <r>
      <rPr>
        <b/>
        <sz val="10"/>
        <rFont val="Times New Roman"/>
        <family val="1"/>
      </rPr>
      <t xml:space="preserve"> (f)</t>
    </r>
  </si>
  <si>
    <t>% Aplicado</t>
  </si>
  <si>
    <t>PLANO PREVIDÊNCIARIO</t>
  </si>
  <si>
    <t>PLANO FINANCEIRO</t>
  </si>
  <si>
    <t xml:space="preserve">        1.1.2- Multas, Juros de Mora, Dívida Ativa e Outros Encargos do IPTU</t>
  </si>
  <si>
    <t xml:space="preserve">        1.2.2- Multas, Juros de Mora, Dívida Ativa e Outros Encargos do ITBI</t>
  </si>
  <si>
    <t xml:space="preserve">        1.3.2- Multas, Juros de Mora, Dívida Ativa e Outros Encargos do ISS</t>
  </si>
  <si>
    <t xml:space="preserve">    1.4- Receita Resultante do Imposto de Renda Retido na Fonte – IRRF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</si>
  <si>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</si>
  <si>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</si>
  <si>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</si>
  <si>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</si>
  <si>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</si>
  <si>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</si>
  <si>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</si>
  <si>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</si>
  <si>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</si>
  <si>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</si>
  <si>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</si>
  <si>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</si>
  <si>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</si>
  <si>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</si>
  <si>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</si>
  <si>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29- RESULTADO LÍQUIDO DAS TRANSFERÊNCIAS DO FUNDEB = (12)</t>
  </si>
  <si>
    <t>30- DESPESAS CUSTEADAS COM A COMPLEMENTAÇÃO DO FUNDEB NO EXERCÍCIO</t>
  </si>
  <si>
    <t>SALÁRIO</t>
  </si>
  <si>
    <t>EDUCAÇÃO</t>
  </si>
  <si>
    <t>(-) Incentivos Fiscais a Contribuinte por Instituições Financeiras</t>
  </si>
  <si>
    <t>(h) = (d-e)</t>
  </si>
  <si>
    <t xml:space="preserve">SALDO </t>
  </si>
  <si>
    <t>(j) = (Ib – (IIf+ IIg))</t>
  </si>
  <si>
    <t>(k) = (IIIi + IIIj)</t>
  </si>
  <si>
    <t>Regime Próprio de Previdência dos Servidores - PLANO PREVIDENCIÁRIO</t>
  </si>
  <si>
    <t xml:space="preserve">    Receitas Previdenciárias Realizadas</t>
  </si>
  <si>
    <t xml:space="preserve">    Despesas Previdenciárias Liquidadas</t>
  </si>
  <si>
    <t xml:space="preserve">    Resultado Previdenciário</t>
  </si>
  <si>
    <t>Regime Próprio de Previdência dos Servidores - PLANO FINANCEIRO</t>
  </si>
  <si>
    <t>DEMONSTRATIVO DOS RESULTADOS PRIMÁRIO E NOMINAL   - ESTADOS, DISTRITO FEDERAL E MUNICÍPIOS</t>
  </si>
  <si>
    <t xml:space="preserve">            Receita de Aporte Periódico de Valores Predefinidos (II)</t>
  </si>
  <si>
    <t xml:space="preserve">    RECEITAS DE CAPITAL (III)</t>
  </si>
  <si>
    <t>TOTAL DAS RECEITAS PREVIDENCIÁRIAS RPPS - (IV) = (I + III - II)</t>
  </si>
  <si>
    <t>SALDO DE EXERCÍCIO ANTERIORES</t>
  </si>
  <si>
    <t xml:space="preserve">        Superávit Financeiro Utilizado para Créditos Adicionais</t>
  </si>
  <si>
    <t>VARIAÇÃO CAMBIAL (XXXV)</t>
  </si>
  <si>
    <t>PAGAMENTO DE PRECATÓRIOS INTEGRANTES DA DC (XXXVI)</t>
  </si>
  <si>
    <t xml:space="preserve">    RECURSOS ARRECADADOS EM EXERCÍCIOS ANTERIORES - RPPS</t>
  </si>
  <si>
    <t xml:space="preserve">    SUPERÁVIT FINANCEIRO UTILIZADO PARA ABERTURA E
   └ REABERTURA DE CRÉDITOS ADICIONAIS</t>
  </si>
  <si>
    <t>31- DESPESAS CUSTEADAS COM O SUPERÁVIT FINANCEIRO, DO EXERCÍCIO ANTERIOR, DO FUNDEB</t>
  </si>
  <si>
    <t>32- DESPESAS CUSTEADAS COM O SUPERÁVIT FINANCEIRO, DO EXERCÍCIO ANTERIOR, DE OUTROS RECURSOS DE IMPOSTOS</t>
  </si>
  <si>
    <t>33- RESTOS A PAGAR INSCRITOS NO EXERCÍCIO SEM DISPONIBILIDADE FINANCEIRA DE RECURSOS DE IMPOSTOS VINCULADOS AO ENSINO</t>
  </si>
  <si>
    <t>35- TOTAL DAS DEDUÇÕES CONSIDERADAS PARA FINS DE LIMITE CONSTITUCIONAL (29+30+31+32+33+34)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</si>
  <si>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</si>
  <si>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</si>
  <si>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</si>
  <si>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</si>
  <si>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44- RESTOS A PAGAR DE DESPESAS COM MDE</t>
  </si>
  <si>
    <t xml:space="preserve">   44.1 - Executadas com Recursos de Impostos Vinculados ao Ensino</t>
  </si>
  <si>
    <t xml:space="preserve">   44.2 - Executadas com Recursos do FUNDEB</t>
  </si>
  <si>
    <t>45- SALDO FINANCEIRO EM 31 DE DEZEMBRO DE &lt;EXERCÍCIO ANTERIOR&gt;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</si>
  <si>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</si>
  <si>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</si>
  <si>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</si>
  <si>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</si>
  <si>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</si>
  <si>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</si>
  <si>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</si>
  <si>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</si>
  <si>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</si>
  <si>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</si>
  <si>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</si>
  <si>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</si>
  <si>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36- TOTAL DAS DESPESAS PARA FINS DE LIMITE ((22 + 23) – (35))</t>
  </si>
  <si>
    <t xml:space="preserve">37- PERCENTUAL DE APLICAÇÃO EM MDE SOBRE A RECEITA LÍQUIDA DE IMPOSTOS ((36) / (3) x 100) % - LIMITE CONSTITUCIONAL 25% </t>
  </si>
  <si>
    <t>42- TOTAL DAS OUTRAS DESPESAS CUSTEADAS COM RECEITAS ADICIONAIS PARA FINANCIAMENTO DO ENSINO (38+39 + 40 + 41)</t>
  </si>
  <si>
    <t>43- TOTAL GERAL DAS DESPESAS COM MDE (28 + 42)</t>
  </si>
  <si>
    <t xml:space="preserve">    Receita de Alienação de Bens Intangiveis </t>
  </si>
  <si>
    <t xml:space="preserve">    Receita de Rendimento de Aplicações Financeiras</t>
  </si>
  <si>
    <t>RCL AJUSTADA P/ DESPESA COM PESSOAL (VII) = (V - VI)</t>
  </si>
  <si>
    <t>(-) Emendas de bancada  (art. 166, § 16, da CF) (VI)</t>
  </si>
  <si>
    <t>RCL AJUSTADA P/ ENDIVIDAMENTO  (V) = (III - IV)</t>
  </si>
  <si>
    <t>(-) Emendas individuais (art. 166-A, § 1º, da CF) (IV)</t>
  </si>
  <si>
    <t>RECEITAS DA ADMINISTRAÇÃO DO RPPS</t>
  </si>
  <si>
    <t>DESPESA DA ADMINISTRAÇÃO DO RPPS</t>
  </si>
  <si>
    <t xml:space="preserve">        DESPESAS CORRENTES (XIII)</t>
  </si>
  <si>
    <t xml:space="preserve">        DESPESAS DE CAPITAL (XIV)</t>
  </si>
  <si>
    <t>TOTAL DAS DESPESAS DA ADMINISTRAÇÃO DO RPPS (XV) = (XIII - XIV)</t>
  </si>
  <si>
    <t>RESULTADO DA ADMISNITRAÇÃO DO RPPS (XVI) = (XII – XV)</t>
  </si>
  <si>
    <t>TOTAL DAS DESPESAS PREVIDENCIÁRIAS RPPS (V)</t>
  </si>
  <si>
    <t>RESULTADO PREVIDENCIÁRIO (VI) = (IV - V)</t>
  </si>
  <si>
    <t xml:space="preserve">    RECEITAS CORRENTES (VII)</t>
  </si>
  <si>
    <t>TOTAL DAS RECEITAS PREVIDENCIÁRIAS RPPS - (IX) = (VII + VIII)</t>
  </si>
  <si>
    <t xml:space="preserve">    RECEITAS DE CAPITAL (VIII)</t>
  </si>
  <si>
    <t>TOTAL DAS DESPESAS PREVIDENCIÁRIAS RPPS (X)</t>
  </si>
  <si>
    <t>RESULTADO PREVIDENCIÁRIO (XI) = (IX – X)</t>
  </si>
  <si>
    <t>TOTAL DAS RECEITAS DA ADMINISTRAÇÃO DO RPPS - (XII)</t>
  </si>
  <si>
    <t>AJUSTES RELATIVOS AO RPPS (XXXVII)</t>
  </si>
  <si>
    <t>OUTROS AJUSTES (XXXVIII)</t>
  </si>
  <si>
    <t>RESULTADO NOMINAL AJUSTADO - Abaixo da Linha (XXXIX) = (XXXII - XXXIII - IX + XXXIV + XXXV - XXXVI + XXXVII + XXXVIII )</t>
  </si>
  <si>
    <t>RESULTADO PRIMÁRIO - Abaixo da Linha (XL) =  XXXIX - (XXV - XXVI)</t>
  </si>
  <si>
    <t>Do Ente Federado, exceto estatais não dependentes - Contratadas (I.1)</t>
  </si>
  <si>
    <t>Do Ente Federado, exceto estatais não dependentes  - A contratar (I.2)</t>
  </si>
  <si>
    <t xml:space="preserve">Das Estatais Não-Dependentes - Contratadas (II.1) </t>
  </si>
  <si>
    <t xml:space="preserve">Das Estatais Não-Dependentes - A contratar (II.2) </t>
  </si>
  <si>
    <t>TOTAL DAS DESPESAS DE PPP DO ENTE FEDERADO (I) = (I.1 + I.2)</t>
  </si>
  <si>
    <t>TOTAL DAS DESPESAS DE PPP DAS ESTATAIS NÃO DEPENDENTES (II) = (II.1 + II.2)</t>
  </si>
  <si>
    <t>TOTAL DAS DESPESAS  DE PPP (III) = (I +II)</t>
  </si>
  <si>
    <t>RECEITA CORRENTE LÍQUIDA (RCL) (IV)</t>
  </si>
  <si>
    <t>TOTAL DAS DESPESAS CONSIDERADAS PARA O LIMITE (I)</t>
  </si>
  <si>
    <t>TOTAL DAS DESPESAS CONSIDERADAS PARA O LIMITE / RCL (%) (V) = (I / IV)</t>
  </si>
  <si>
    <t xml:space="preserve">    Despesas Previdenciárias Empenhadas</t>
  </si>
  <si>
    <t>Resultado Nominal - Acima da Linha</t>
  </si>
  <si>
    <t>Resultado Primário - Acima da Linha</t>
  </si>
  <si>
    <t xml:space="preserve">Total das Despesas Consideradas para o Limite / RCL (%) </t>
  </si>
  <si>
    <t xml:space="preserve">    Receitas Previdenciárias</t>
  </si>
  <si>
    <t xml:space="preserve">    Despesas Previdenciárias</t>
  </si>
  <si>
    <t>Plano Previdênciário</t>
  </si>
  <si>
    <t>Plano Financeiro</t>
  </si>
  <si>
    <t xml:space="preserve">Receita Corrente Líquida Ajustada para Cálculo dos Limites de Endividamento </t>
  </si>
  <si>
    <t xml:space="preserve">Receita Corrente Líquida Ajustada para Cálculo dos Limites da Despesa com Pessoal </t>
  </si>
  <si>
    <t xml:space="preserve">    10.5- Cota-Parte ITR ou ITR Arrecadado Destinados ao FUNDEB – (20% de 2.5)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</si>
  <si>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</si>
  <si>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</si>
  <si>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</si>
  <si>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</si>
  <si>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</si>
  <si>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</si>
  <si>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</si>
  <si>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</si>
  <si>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</si>
  <si>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>DESPESAS PAGAS</t>
  </si>
  <si>
    <t>(e/c) x 100</t>
  </si>
  <si>
    <t>(f/c) x 100</t>
  </si>
  <si>
    <t>RECEITA DE IMPOSTOS (I)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</si>
  <si>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</si>
  <si>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</si>
  <si>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</si>
  <si>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</si>
  <si>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</si>
  <si>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</si>
  <si>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</si>
  <si>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</si>
  <si>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</si>
  <si>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</si>
  <si>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</si>
  <si>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(X)</t>
  </si>
  <si>
    <t xml:space="preserve">    Receita Resultante do IRRF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</si>
  <si>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</si>
  <si>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</si>
  <si>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</si>
  <si>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</si>
  <si>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</si>
  <si>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</si>
  <si>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</si>
  <si>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</si>
  <si>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r>
      <t>Diferença entre o Valor Aplicado e a Despesa Mínima a ser Aplicada (XVIII) = (XVI (d ou e) - XVII)</t>
    </r>
    <r>
      <rPr>
        <vertAlign val="superscript"/>
        <sz val="9"/>
        <rFont val="Times New Roman"/>
        <family val="1"/>
      </rPr>
      <t>1</t>
    </r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</si>
  <si>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</si>
  <si>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</si>
  <si>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</si>
  <si>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Diferença de limite não cumprido no exercício</t>
  </si>
  <si>
    <t>Diferença de limite não cumprido no exercício anterior</t>
  </si>
  <si>
    <t>Diferença de limite não cumprido em exercícios anteriores</t>
  </si>
  <si>
    <t>TOTAL DA DIFERENÇA DE LIMITE NÃO CUMPRIDO EM EXERCÍCIOS ANTERIORES (XX)</t>
  </si>
  <si>
    <t>Despesas Custeadas no Exercício de Referência</t>
  </si>
  <si>
    <t>Pagas</t>
  </si>
  <si>
    <t>Liquidadas</t>
  </si>
  <si>
    <t>Empenhadad</t>
  </si>
  <si>
    <t xml:space="preserve">Saldo Inicial                                       (no exercicio atual)                             </t>
  </si>
  <si>
    <t xml:space="preserve">Saldo Final                               (não aplicado)1                                             </t>
  </si>
  <si>
    <t>(l) = (h - (i ou j))</t>
  </si>
  <si>
    <t>EXECUÇÃO DE RESTOS A PAGAR</t>
  </si>
  <si>
    <t>EXERÍCIO DO EMPENHO</t>
  </si>
  <si>
    <t>Inscritos em &lt;Exercício de Referência - 3&gt;</t>
  </si>
  <si>
    <t>Inscritos em exercícios anteriores</t>
  </si>
  <si>
    <t xml:space="preserve"> Valor Mínimo para aplicação em ASPS                                                </t>
  </si>
  <si>
    <t>(n)</t>
  </si>
  <si>
    <t xml:space="preserve"> Valor aplicado em ASPS no exercício</t>
  </si>
  <si>
    <t>(o) = (n - m)</t>
  </si>
  <si>
    <t>Valor aplicado além do limite mínimo</t>
  </si>
  <si>
    <t>(p)</t>
  </si>
  <si>
    <t>Total inscrito em RP no exercício</t>
  </si>
  <si>
    <t xml:space="preserve">RPNP Inscritos Indevidamente no Exercício sem Disponibilidade Financeira         </t>
  </si>
  <si>
    <t>q = (XIIId)</t>
  </si>
  <si>
    <t xml:space="preserve">Valor inscrito em RP considerado no Limite                                  </t>
  </si>
  <si>
    <t xml:space="preserve">(r) = (p - (o + q))           </t>
  </si>
  <si>
    <t xml:space="preserve">Total de RP pagos                </t>
  </si>
  <si>
    <t>(s)</t>
  </si>
  <si>
    <t xml:space="preserve">Total de RP a pagar                     </t>
  </si>
  <si>
    <t>(t)</t>
  </si>
  <si>
    <t>(u)</t>
  </si>
  <si>
    <t>Total de RP cancelados ou prescritos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</si>
  <si>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</si>
  <si>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</si>
  <si>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</si>
  <si>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</si>
  <si>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>TOTAL DE RESTOS A PAGAR CANCELADOS OU PRESCRITOS A COMPENSAR (XXVII)</t>
  </si>
  <si>
    <t>(W)</t>
  </si>
  <si>
    <t>(x)</t>
  </si>
  <si>
    <t>(y)</t>
  </si>
  <si>
    <t>(z)</t>
  </si>
  <si>
    <t>(aa) = (w - (x ou y))</t>
  </si>
  <si>
    <t>RECEITAS DE TRANSFERÊNCIAS PARA A SAÚDE  (XXVIII)</t>
  </si>
  <si>
    <t>RECEITA DE OPERAÇÕES DE CRÉDITO INTERNAS E EXTERNAS VINCULADAS A SAÚDE (XXIX)</t>
  </si>
  <si>
    <t>OUTRAS RECEITAS (XXX)</t>
  </si>
  <si>
    <t>RECEITAS ADICIONAIS PARA O FINANCIAMENTO DA SAÚDE NÃO COMPUTADAS NO CÁLCULO DO MÍNIMO</t>
  </si>
  <si>
    <t>TOTAL DE RECEITAS ADICIONAIS PARA FINANCIAMENTO DA SAÚDE (XXXI) = (XXVIII + XXIX + XXX)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</si>
  <si>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</si>
  <si>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</si>
  <si>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</si>
  <si>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</si>
  <si>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</si>
  <si>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</si>
  <si>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</si>
  <si>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</si>
  <si>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(d/c)x100</t>
  </si>
  <si>
    <t>(e/c)x100</t>
  </si>
  <si>
    <t>(f/c)x100</t>
  </si>
  <si>
    <t>DESPESAS TOTAIS COM SAÚDE EXECUTADAS COM COM RECURSOS PRÓPRIOS E COM RECURSOS TRANSFERIDOS DE OUTROS ENTES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</si>
  <si>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</si>
  <si>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</si>
  <si>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</si>
  <si>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</si>
  <si>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</si>
  <si>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</si>
  <si>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</si>
  <si>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</si>
  <si>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r>
      <t>(-) Despesas executadas com recursos provenientes das transferências de recursos de outros entes</t>
    </r>
    <r>
      <rPr>
        <b/>
        <vertAlign val="superscript"/>
        <sz val="10"/>
        <rFont val="Times New Roman"/>
        <family val="1"/>
      </rPr>
      <t>3</t>
    </r>
  </si>
  <si>
    <t>TOTAL DAS DESPESAS EXECUTADAS COM RECURSOS PRÓPRIOS (XLVIII)</t>
  </si>
  <si>
    <t>¹Nos cinco primeiros bimestres do exercício, o acompanhamento será feito com base na despesa liquidada. No último bimestre do exercício, o valor deverá corresponder ao total da despesa empenhada.</t>
  </si>
  <si>
    <t>2Até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</si>
  <si>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3Essas despesas são consideradas executadas pelo ente transferidor.</t>
  </si>
  <si>
    <t>Notas:</t>
  </si>
  <si>
    <t>TOTAL (XI) = (IV + V + VI + VII + VIII + IX + X)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</si>
  <si>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</si>
  <si>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34- CANCELAMENTO, NO EXERCÍCIO, DE RESTOS A PAGAR INSCRITOS COM DISPONIBILIDADE FINANCEIRA DE RECURSOS DE IMPOSTOS VINCULADOS AO ENSINO = (44 j)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</si>
  <si>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</si>
  <si>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</si>
  <si>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</si>
  <si>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</si>
  <si>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2º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</si>
  <si>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</si>
  <si>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</si>
  <si>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</si>
  <si>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</si>
  <si>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</si>
  <si>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</si>
  <si>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13/05/2020, às 13:39:34. Assinado Digitalmente no dia 13/05/2020, às 13:39:34.</t>
  </si>
  <si>
    <t>FONTE: Sistema CECAM, Unidade Responsável: CONTABILIDADE. Emissão: 13/05/2020, às 13:39:52. Assinado Digitalmente no dia 13/05/2020, às 13:39:52.</t>
  </si>
  <si>
    <t>FONTE: Sistema CECAM, Unidade Responsável: CONTABILIDADE. Emissão: 13/05/2020, às 13:39:55. Assinado Digitalmente no dia 13/05/2020, às 13:39:55.</t>
  </si>
  <si>
    <t>FONTE: Sistema CECAM, Unidade Responsável: CONTABILIDADE. Emissão: 13/05/2020, às 13:40:20. Assinado Digitalmente no dia 13/05/2020, às 13:40:20.</t>
  </si>
  <si>
    <t>FONTE: Sistema CECAM, Unidade Responsável: CONTABILIDADE. Emissão: 13/05/2020, às 13:40:25. Assinado Digitalmente no dia 13/05/2020, às 13:40:25.</t>
  </si>
  <si>
    <t>FONTE: Sistema CECAM, Unidade Responsável: CONTABILIDADE. Emissão: 13/05/2020, às 13:41:02. Assinado Digitalmente no dia 13/05/2020, às 13:41:02.</t>
  </si>
  <si>
    <t>FONTE: Sistema CECAM, Unidade Responsável: CONTABILIDADE. Emissão: 13/05/2020, às 13:41:04. Assinado Digitalmente no dia 13/05/2020, às 13:41:04.</t>
  </si>
  <si>
    <t>FONTE: Sistema CECAM, Unidade Responsável: CONTABILIDADE. Emissão: 13/05/2020, às 13:41:08. Assinado Digitalmente no dia 13/05/2020, às 13:41:08.</t>
  </si>
  <si>
    <t>FONTE: Sistema CECAM, Unidade Responsável: CONTABILIDADE. Emissão: 13/05/2020, às 13:41:18. Assinado Digitalmente no dia 13/05/2020, às 13:41:18.</t>
  </si>
  <si>
    <t>FONTE: Sistema CECAM, Unidade Responsável: CONTABILIDADE. Emissão: 13/05/2020, às 13:41:20. Assinado Digitalmente no dia 13/05/2020, às 13:41:20.</t>
  </si>
  <si>
    <t>CRC - SP 321123/O-4</t>
  </si>
  <si>
    <t>CRC-SP 289944/O-3</t>
  </si>
  <si>
    <t>RITA DE CÁSSIA TRASFERETTI</t>
  </si>
  <si>
    <t>SECRETÁRIA MUNICIPAL DE EDUCAÇÃO</t>
  </si>
  <si>
    <t>GRAZIELA DRIGO BOSSOLAN GARCIA</t>
  </si>
  <si>
    <t>SECRETÁRIA MUNICIPAL DA SAÚDE</t>
  </si>
  <si>
    <r>
      <rPr>
        <b/>
        <sz val="10"/>
        <rFont val="Times New Roman"/>
        <family val="1"/>
      </rPr>
      <t>NOTA EXPLICATIVA:</t>
    </r>
    <r>
      <rPr>
        <sz val="10"/>
        <rFont val="Times New Roman"/>
        <family val="1"/>
      </rPr>
      <t xml:space="preserve"> Nos valores da linha "Rendimentos de Aplicação Financeira" não foram computados os rendimentos de aplicação financeira do RPPS, para não prejudicar a apuração do percentual dos limites do RREO e RGF, uma vez que se tratam de recursos vinculados e exclusivos que somente poderão ser utilizados para pagamento de benefícios previdenciários.</t>
    </r>
  </si>
  <si>
    <t>Considerando a destinação específica dada aos recursos vinculados ao RPPS na Lei 9.717/98, entendemos que os ganhos com aplicação financeira registrados pelo RPPS devem ser deduzidos da RCL, pois do contrário esta variável aumentará, dando, de maneira indevida, uma margem maior para endividamento e gastos com pessoal aos entes municipais.</t>
  </si>
  <si>
    <t>FONTE: Sistema CECAM, Unidade Responsável: CONTABILIDADE. Emissão: 15/05/2020, às 09:00:13. Assinado Digitalmente no dia 15/05/2020, às 09:00:13.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</si>
</sst>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0.000"/>
    <numFmt numFmtId="178" formatCode="0.0000"/>
    <numFmt numFmtId="179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trike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5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trike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37" fontId="5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50" applyFont="1" applyFill="1" applyBorder="1">
      <alignment/>
      <protection/>
    </xf>
    <xf numFmtId="0" fontId="5" fillId="33" borderId="10" xfId="50" applyFont="1" applyFill="1" applyBorder="1" applyAlignment="1">
      <alignment wrapText="1"/>
      <protection/>
    </xf>
    <xf numFmtId="49" fontId="5" fillId="33" borderId="13" xfId="50" applyNumberFormat="1" applyFont="1" applyFill="1" applyBorder="1" applyAlignment="1">
      <alignment/>
      <protection/>
    </xf>
    <xf numFmtId="0" fontId="5" fillId="33" borderId="13" xfId="50" applyFont="1" applyFill="1" applyBorder="1" applyAlignment="1">
      <alignment horizontal="justify" vertical="top" wrapText="1"/>
      <protection/>
    </xf>
    <xf numFmtId="0" fontId="5" fillId="33" borderId="14" xfId="50" applyFont="1" applyFill="1" applyBorder="1" applyAlignment="1">
      <alignment horizontal="justify" vertical="top" wrapText="1"/>
      <protection/>
    </xf>
    <xf numFmtId="0" fontId="3" fillId="33" borderId="11" xfId="0" applyFont="1" applyFill="1" applyBorder="1" applyAlignment="1">
      <alignment wrapText="1"/>
    </xf>
    <xf numFmtId="43" fontId="3" fillId="33" borderId="0" xfId="69" applyFont="1" applyFill="1" applyBorder="1" applyAlignment="1">
      <alignment horizontal="right"/>
    </xf>
    <xf numFmtId="0" fontId="5" fillId="33" borderId="0" xfId="52" applyFont="1" applyFill="1" applyAlignment="1" applyProtection="1">
      <alignment vertical="center"/>
      <protection locked="0"/>
    </xf>
    <xf numFmtId="0" fontId="5" fillId="33" borderId="0" xfId="52" applyFont="1" applyFill="1" applyBorder="1" applyAlignment="1" applyProtection="1">
      <alignment vertical="center"/>
      <protection locked="0"/>
    </xf>
    <xf numFmtId="0" fontId="5" fillId="33" borderId="13" xfId="52" applyFont="1" applyFill="1" applyBorder="1" applyAlignment="1" applyProtection="1">
      <alignment vertical="center"/>
      <protection locked="0"/>
    </xf>
    <xf numFmtId="0" fontId="5" fillId="33" borderId="15" xfId="52" applyFont="1" applyFill="1" applyBorder="1" applyAlignment="1" applyProtection="1">
      <alignment vertical="center"/>
      <protection locked="0"/>
    </xf>
    <xf numFmtId="0" fontId="5" fillId="33" borderId="16" xfId="52" applyFont="1" applyFill="1" applyBorder="1" applyAlignment="1" applyProtection="1">
      <alignment vertical="center"/>
      <protection locked="0"/>
    </xf>
    <xf numFmtId="0" fontId="5" fillId="33" borderId="0" xfId="52" applyFont="1" applyFill="1" applyAlignment="1" applyProtection="1">
      <alignment vertical="center" wrapText="1"/>
      <protection locked="0"/>
    </xf>
    <xf numFmtId="0" fontId="5" fillId="33" borderId="17" xfId="52" applyFont="1" applyFill="1" applyBorder="1" applyAlignment="1" applyProtection="1">
      <alignment vertical="center" wrapText="1"/>
      <protection locked="0"/>
    </xf>
    <xf numFmtId="43" fontId="3" fillId="33" borderId="18" xfId="66" applyFont="1" applyFill="1" applyBorder="1" applyAlignment="1">
      <alignment horizontal="right"/>
    </xf>
    <xf numFmtId="43" fontId="3" fillId="33" borderId="12" xfId="66" applyFont="1" applyFill="1" applyBorder="1" applyAlignment="1">
      <alignment horizontal="right"/>
    </xf>
    <xf numFmtId="43" fontId="3" fillId="33" borderId="13" xfId="66" applyFont="1" applyFill="1" applyBorder="1" applyAlignment="1">
      <alignment horizontal="right"/>
    </xf>
    <xf numFmtId="43" fontId="3" fillId="33" borderId="10" xfId="66" applyFont="1" applyFill="1" applyBorder="1" applyAlignment="1">
      <alignment horizontal="right"/>
    </xf>
    <xf numFmtId="0" fontId="9" fillId="33" borderId="18" xfId="0" applyFont="1" applyFill="1" applyBorder="1" applyAlignment="1">
      <alignment/>
    </xf>
    <xf numFmtId="49" fontId="9" fillId="33" borderId="12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0" fontId="26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/>
    </xf>
    <xf numFmtId="0" fontId="73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 indent="2"/>
    </xf>
    <xf numFmtId="43" fontId="3" fillId="33" borderId="17" xfId="66" applyFont="1" applyFill="1" applyBorder="1" applyAlignment="1">
      <alignment horizontal="right"/>
    </xf>
    <xf numFmtId="43" fontId="3" fillId="33" borderId="20" xfId="66" applyFont="1" applyFill="1" applyBorder="1" applyAlignment="1">
      <alignment horizontal="right"/>
    </xf>
    <xf numFmtId="0" fontId="5" fillId="33" borderId="21" xfId="0" applyFont="1" applyFill="1" applyBorder="1" applyAlignment="1">
      <alignment vertical="center"/>
    </xf>
    <xf numFmtId="43" fontId="3" fillId="33" borderId="22" xfId="66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/>
    </xf>
    <xf numFmtId="43" fontId="3" fillId="33" borderId="10" xfId="69" applyFont="1" applyFill="1" applyBorder="1" applyAlignment="1">
      <alignment horizontal="right"/>
    </xf>
    <xf numFmtId="0" fontId="5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 vertical="center"/>
    </xf>
    <xf numFmtId="0" fontId="26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166" fontId="9" fillId="33" borderId="15" xfId="0" applyNumberFormat="1" applyFont="1" applyFill="1" applyBorder="1" applyAlignment="1">
      <alignment horizontal="center"/>
    </xf>
    <xf numFmtId="0" fontId="5" fillId="33" borderId="13" xfId="50" applyFont="1" applyFill="1" applyBorder="1" applyAlignment="1">
      <alignment wrapText="1"/>
      <protection/>
    </xf>
    <xf numFmtId="37" fontId="5" fillId="33" borderId="0" xfId="0" applyNumberFormat="1" applyFont="1" applyFill="1" applyBorder="1" applyAlignment="1">
      <alignment/>
    </xf>
    <xf numFmtId="49" fontId="5" fillId="33" borderId="13" xfId="50" applyNumberFormat="1" applyFont="1" applyFill="1" applyBorder="1" applyAlignment="1">
      <alignment wrapText="1"/>
      <protection/>
    </xf>
    <xf numFmtId="0" fontId="10" fillId="33" borderId="13" xfId="50" applyFont="1" applyFill="1" applyBorder="1" applyAlignment="1">
      <alignment horizontal="justify" vertical="top" wrapText="1"/>
      <protection/>
    </xf>
    <xf numFmtId="49" fontId="5" fillId="33" borderId="21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wrapText="1"/>
    </xf>
    <xf numFmtId="49" fontId="5" fillId="33" borderId="17" xfId="0" applyNumberFormat="1" applyFont="1" applyFill="1" applyBorder="1" applyAlignment="1">
      <alignment/>
    </xf>
    <xf numFmtId="43" fontId="3" fillId="33" borderId="11" xfId="66" applyFont="1" applyFill="1" applyBorder="1" applyAlignment="1">
      <alignment horizontal="right"/>
    </xf>
    <xf numFmtId="43" fontId="3" fillId="33" borderId="15" xfId="66" applyFont="1" applyFill="1" applyBorder="1" applyAlignment="1">
      <alignment horizontal="right"/>
    </xf>
    <xf numFmtId="37" fontId="9" fillId="33" borderId="0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/>
    </xf>
    <xf numFmtId="49" fontId="5" fillId="33" borderId="22" xfId="50" applyNumberFormat="1" applyFont="1" applyFill="1" applyBorder="1" applyAlignment="1">
      <alignment wrapText="1"/>
      <protection/>
    </xf>
    <xf numFmtId="49" fontId="5" fillId="33" borderId="10" xfId="50" applyNumberFormat="1" applyFont="1" applyFill="1" applyBorder="1" applyAlignment="1">
      <alignment wrapText="1"/>
      <protection/>
    </xf>
    <xf numFmtId="0" fontId="5" fillId="33" borderId="15" xfId="50" applyFont="1" applyFill="1" applyBorder="1" applyAlignment="1">
      <alignment vertical="center" wrapText="1"/>
      <protection/>
    </xf>
    <xf numFmtId="43" fontId="3" fillId="33" borderId="22" xfId="69" applyFont="1" applyFill="1" applyBorder="1" applyAlignment="1">
      <alignment/>
    </xf>
    <xf numFmtId="43" fontId="3" fillId="34" borderId="20" xfId="69" applyFont="1" applyFill="1" applyBorder="1" applyAlignment="1">
      <alignment/>
    </xf>
    <xf numFmtId="0" fontId="5" fillId="33" borderId="0" xfId="50" applyFont="1" applyFill="1" applyBorder="1" applyAlignment="1">
      <alignment vertical="center" wrapText="1"/>
      <protection/>
    </xf>
    <xf numFmtId="0" fontId="9" fillId="33" borderId="24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wrapText="1"/>
    </xf>
    <xf numFmtId="0" fontId="9" fillId="33" borderId="25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/>
    </xf>
    <xf numFmtId="0" fontId="5" fillId="33" borderId="2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5" fillId="33" borderId="18" xfId="50" applyFont="1" applyFill="1" applyBorder="1" applyAlignment="1">
      <alignment wrapText="1"/>
      <protection/>
    </xf>
    <xf numFmtId="49" fontId="5" fillId="33" borderId="17" xfId="50" applyNumberFormat="1" applyFont="1" applyFill="1" applyBorder="1" applyAlignment="1">
      <alignment/>
      <protection/>
    </xf>
    <xf numFmtId="49" fontId="5" fillId="33" borderId="17" xfId="50" applyNumberFormat="1" applyFont="1" applyFill="1" applyBorder="1" applyAlignment="1">
      <alignment wrapText="1"/>
      <protection/>
    </xf>
    <xf numFmtId="0" fontId="10" fillId="33" borderId="13" xfId="50" applyFont="1" applyFill="1" applyBorder="1" applyAlignment="1">
      <alignment wrapText="1"/>
      <protection/>
    </xf>
    <xf numFmtId="0" fontId="5" fillId="33" borderId="0" xfId="0" applyFont="1" applyFill="1" applyBorder="1" applyAlignment="1">
      <alignment horizontal="justify" vertical="top" wrapText="1"/>
    </xf>
    <xf numFmtId="0" fontId="5" fillId="33" borderId="18" xfId="0" applyNumberFormat="1" applyFont="1" applyFill="1" applyBorder="1" applyAlignment="1">
      <alignment wrapText="1"/>
    </xf>
    <xf numFmtId="43" fontId="3" fillId="33" borderId="24" xfId="66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/>
    </xf>
    <xf numFmtId="43" fontId="3" fillId="33" borderId="0" xfId="66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/>
    </xf>
    <xf numFmtId="43" fontId="3" fillId="33" borderId="11" xfId="69" applyFont="1" applyFill="1" applyBorder="1" applyAlignment="1">
      <alignment horizontal="right"/>
    </xf>
    <xf numFmtId="0" fontId="0" fillId="33" borderId="0" xfId="0" applyFill="1" applyAlignment="1">
      <alignment/>
    </xf>
    <xf numFmtId="165" fontId="3" fillId="33" borderId="10" xfId="66" applyNumberFormat="1" applyFont="1" applyFill="1" applyBorder="1" applyAlignment="1">
      <alignment horizontal="right"/>
    </xf>
    <xf numFmtId="165" fontId="3" fillId="33" borderId="12" xfId="66" applyNumberFormat="1" applyFont="1" applyFill="1" applyBorder="1" applyAlignment="1">
      <alignment horizontal="right"/>
    </xf>
    <xf numFmtId="165" fontId="3" fillId="33" borderId="13" xfId="66" applyNumberFormat="1" applyFont="1" applyFill="1" applyBorder="1" applyAlignment="1">
      <alignment horizontal="right"/>
    </xf>
    <xf numFmtId="165" fontId="3" fillId="33" borderId="18" xfId="66" applyNumberFormat="1" applyFont="1" applyFill="1" applyBorder="1" applyAlignment="1">
      <alignment horizontal="right"/>
    </xf>
    <xf numFmtId="165" fontId="3" fillId="33" borderId="22" xfId="66" applyNumberFormat="1" applyFont="1" applyFill="1" applyBorder="1" applyAlignment="1">
      <alignment horizontal="right"/>
    </xf>
    <xf numFmtId="165" fontId="3" fillId="33" borderId="20" xfId="66" applyNumberFormat="1" applyFont="1" applyFill="1" applyBorder="1" applyAlignment="1">
      <alignment horizontal="right"/>
    </xf>
    <xf numFmtId="165" fontId="3" fillId="33" borderId="11" xfId="66" applyNumberFormat="1" applyFont="1" applyFill="1" applyBorder="1" applyAlignment="1">
      <alignment horizontal="right"/>
    </xf>
    <xf numFmtId="165" fontId="3" fillId="33" borderId="15" xfId="66" applyNumberFormat="1" applyFont="1" applyFill="1" applyBorder="1" applyAlignment="1">
      <alignment horizontal="right"/>
    </xf>
    <xf numFmtId="165" fontId="3" fillId="34" borderId="22" xfId="66" applyNumberFormat="1" applyFont="1" applyFill="1" applyBorder="1" applyAlignment="1">
      <alignment/>
    </xf>
    <xf numFmtId="165" fontId="3" fillId="34" borderId="20" xfId="66" applyNumberFormat="1" applyFont="1" applyFill="1" applyBorder="1" applyAlignment="1">
      <alignment/>
    </xf>
    <xf numFmtId="165" fontId="3" fillId="33" borderId="18" xfId="66" applyNumberFormat="1" applyFont="1" applyFill="1" applyBorder="1" applyAlignment="1">
      <alignment/>
    </xf>
    <xf numFmtId="165" fontId="3" fillId="33" borderId="22" xfId="66" applyNumberFormat="1" applyFont="1" applyFill="1" applyBorder="1" applyAlignment="1">
      <alignment/>
    </xf>
    <xf numFmtId="165" fontId="3" fillId="33" borderId="20" xfId="66" applyNumberFormat="1" applyFont="1" applyFill="1" applyBorder="1" applyAlignment="1">
      <alignment/>
    </xf>
    <xf numFmtId="165" fontId="3" fillId="34" borderId="22" xfId="69" applyNumberFormat="1" applyFont="1" applyFill="1" applyBorder="1" applyAlignment="1">
      <alignment/>
    </xf>
    <xf numFmtId="165" fontId="3" fillId="33" borderId="22" xfId="69" applyNumberFormat="1" applyFont="1" applyFill="1" applyBorder="1" applyAlignment="1">
      <alignment/>
    </xf>
    <xf numFmtId="165" fontId="3" fillId="34" borderId="20" xfId="69" applyNumberFormat="1" applyFont="1" applyFill="1" applyBorder="1" applyAlignment="1">
      <alignment/>
    </xf>
    <xf numFmtId="165" fontId="3" fillId="33" borderId="0" xfId="66" applyNumberFormat="1" applyFont="1" applyFill="1" applyAlignment="1">
      <alignment horizontal="right"/>
    </xf>
    <xf numFmtId="165" fontId="3" fillId="33" borderId="17" xfId="66" applyNumberFormat="1" applyFont="1" applyFill="1" applyBorder="1" applyAlignment="1">
      <alignment horizontal="right"/>
    </xf>
    <xf numFmtId="165" fontId="3" fillId="33" borderId="14" xfId="66" applyNumberFormat="1" applyFont="1" applyFill="1" applyBorder="1" applyAlignment="1">
      <alignment horizontal="right"/>
    </xf>
    <xf numFmtId="165" fontId="3" fillId="34" borderId="22" xfId="66" applyNumberFormat="1" applyFont="1" applyFill="1" applyBorder="1" applyAlignment="1">
      <alignment horizontal="right"/>
    </xf>
    <xf numFmtId="165" fontId="3" fillId="34" borderId="20" xfId="66" applyNumberFormat="1" applyFont="1" applyFill="1" applyBorder="1" applyAlignment="1">
      <alignment horizontal="right"/>
    </xf>
    <xf numFmtId="165" fontId="3" fillId="33" borderId="24" xfId="66" applyNumberFormat="1" applyFont="1" applyFill="1" applyBorder="1" applyAlignment="1">
      <alignment horizontal="right"/>
    </xf>
    <xf numFmtId="165" fontId="3" fillId="33" borderId="0" xfId="66" applyNumberFormat="1" applyFont="1" applyFill="1" applyBorder="1" applyAlignment="1">
      <alignment horizontal="right"/>
    </xf>
    <xf numFmtId="165" fontId="3" fillId="33" borderId="0" xfId="69" applyNumberFormat="1" applyFont="1" applyFill="1" applyBorder="1" applyAlignment="1">
      <alignment horizontal="right"/>
    </xf>
    <xf numFmtId="165" fontId="3" fillId="33" borderId="13" xfId="69" applyNumberFormat="1" applyFont="1" applyFill="1" applyBorder="1" applyAlignment="1">
      <alignment horizontal="right"/>
    </xf>
    <xf numFmtId="165" fontId="3" fillId="33" borderId="10" xfId="69" applyNumberFormat="1" applyFont="1" applyFill="1" applyBorder="1" applyAlignment="1">
      <alignment horizontal="right"/>
    </xf>
    <xf numFmtId="165" fontId="3" fillId="33" borderId="25" xfId="69" applyNumberFormat="1" applyFont="1" applyFill="1" applyBorder="1" applyAlignment="1">
      <alignment horizontal="right"/>
    </xf>
    <xf numFmtId="165" fontId="3" fillId="33" borderId="15" xfId="69" applyNumberFormat="1" applyFont="1" applyFill="1" applyBorder="1" applyAlignment="1">
      <alignment horizontal="right"/>
    </xf>
    <xf numFmtId="165" fontId="3" fillId="33" borderId="11" xfId="69" applyNumberFormat="1" applyFont="1" applyFill="1" applyBorder="1" applyAlignment="1">
      <alignment horizontal="right"/>
    </xf>
    <xf numFmtId="165" fontId="3" fillId="33" borderId="13" xfId="66" applyNumberFormat="1" applyFont="1" applyFill="1" applyBorder="1" applyAlignment="1" applyProtection="1">
      <alignment horizontal="right"/>
      <protection locked="0"/>
    </xf>
    <xf numFmtId="165" fontId="3" fillId="33" borderId="15" xfId="66" applyNumberFormat="1" applyFont="1" applyFill="1" applyBorder="1" applyAlignment="1" applyProtection="1">
      <alignment horizontal="right"/>
      <protection locked="0"/>
    </xf>
    <xf numFmtId="165" fontId="3" fillId="33" borderId="12" xfId="66" applyNumberFormat="1" applyFont="1" applyFill="1" applyBorder="1" applyAlignment="1">
      <alignment/>
    </xf>
    <xf numFmtId="165" fontId="3" fillId="33" borderId="13" xfId="66" applyNumberFormat="1" applyFont="1" applyFill="1" applyBorder="1" applyAlignment="1">
      <alignment/>
    </xf>
    <xf numFmtId="165" fontId="3" fillId="33" borderId="10" xfId="66" applyNumberFormat="1" applyFont="1" applyFill="1" applyBorder="1" applyAlignment="1">
      <alignment/>
    </xf>
    <xf numFmtId="37" fontId="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 wrapText="1"/>
    </xf>
    <xf numFmtId="0" fontId="73" fillId="33" borderId="0" xfId="50" applyFont="1" applyFill="1" applyAlignment="1">
      <alignment/>
      <protection/>
    </xf>
    <xf numFmtId="0" fontId="2" fillId="33" borderId="21" xfId="0" applyFont="1" applyFill="1" applyBorder="1" applyAlignment="1">
      <alignment horizontal="center" vertical="center"/>
    </xf>
    <xf numFmtId="43" fontId="75" fillId="33" borderId="20" xfId="66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17" xfId="0" applyFont="1" applyFill="1" applyBorder="1" applyAlignment="1">
      <alignment horizontal="left"/>
    </xf>
    <xf numFmtId="165" fontId="76" fillId="33" borderId="18" xfId="66" applyNumberFormat="1" applyFont="1" applyFill="1" applyBorder="1" applyAlignment="1">
      <alignment horizontal="right"/>
    </xf>
    <xf numFmtId="0" fontId="3" fillId="33" borderId="0" xfId="0" applyFont="1" applyFill="1" applyAlignment="1">
      <alignment wrapText="1"/>
    </xf>
    <xf numFmtId="0" fontId="3" fillId="33" borderId="17" xfId="0" applyFont="1" applyFill="1" applyBorder="1" applyAlignment="1">
      <alignment/>
    </xf>
    <xf numFmtId="165" fontId="76" fillId="33" borderId="13" xfId="66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65" fontId="76" fillId="33" borderId="15" xfId="66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43" fontId="76" fillId="33" borderId="24" xfId="66" applyFont="1" applyFill="1" applyBorder="1" applyAlignment="1">
      <alignment horizontal="right" wrapText="1"/>
    </xf>
    <xf numFmtId="43" fontId="76" fillId="33" borderId="0" xfId="66" applyFont="1" applyFill="1" applyBorder="1" applyAlignment="1">
      <alignment horizontal="right" wrapText="1"/>
    </xf>
    <xf numFmtId="43" fontId="76" fillId="33" borderId="25" xfId="66" applyFont="1" applyFill="1" applyBorder="1" applyAlignment="1">
      <alignment horizontal="right" wrapText="1"/>
    </xf>
    <xf numFmtId="0" fontId="2" fillId="33" borderId="20" xfId="0" applyFont="1" applyFill="1" applyBorder="1" applyAlignment="1">
      <alignment horizontal="center" vertical="center"/>
    </xf>
    <xf numFmtId="43" fontId="75" fillId="33" borderId="18" xfId="66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0" xfId="50" applyFont="1" applyFill="1" applyBorder="1" applyAlignment="1">
      <alignment/>
      <protection/>
    </xf>
    <xf numFmtId="0" fontId="3" fillId="33" borderId="0" xfId="0" applyFont="1" applyFill="1" applyAlignment="1">
      <alignment horizontal="left" wrapText="1"/>
    </xf>
    <xf numFmtId="0" fontId="3" fillId="33" borderId="11" xfId="50" applyFont="1" applyFill="1" applyBorder="1" applyAlignment="1">
      <alignment/>
      <protection/>
    </xf>
    <xf numFmtId="0" fontId="77" fillId="33" borderId="0" xfId="0" applyFont="1" applyFill="1" applyBorder="1" applyAlignment="1">
      <alignment horizontal="center" wrapText="1"/>
    </xf>
    <xf numFmtId="37" fontId="3" fillId="33" borderId="0" xfId="0" applyNumberFormat="1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9" fontId="3" fillId="33" borderId="0" xfId="0" applyNumberFormat="1" applyFont="1" applyFill="1" applyBorder="1" applyAlignment="1">
      <alignment horizontal="center" wrapText="1"/>
    </xf>
    <xf numFmtId="37" fontId="3" fillId="33" borderId="0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37" fontId="2" fillId="33" borderId="2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165" fontId="3" fillId="33" borderId="21" xfId="66" applyNumberFormat="1" applyFont="1" applyFill="1" applyBorder="1" applyAlignment="1">
      <alignment horizontal="right"/>
    </xf>
    <xf numFmtId="9" fontId="3" fillId="33" borderId="0" xfId="0" applyNumberFormat="1" applyFont="1" applyFill="1" applyBorder="1" applyAlignment="1">
      <alignment wrapText="1"/>
    </xf>
    <xf numFmtId="0" fontId="19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37" fontId="3" fillId="33" borderId="0" xfId="0" applyNumberFormat="1" applyFont="1" applyFill="1" applyAlignment="1">
      <alignment/>
    </xf>
    <xf numFmtId="0" fontId="23" fillId="33" borderId="0" xfId="0" applyNumberFormat="1" applyFont="1" applyFill="1" applyAlignment="1">
      <alignment vertical="justify" wrapText="1"/>
    </xf>
    <xf numFmtId="0" fontId="2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justify" wrapText="1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164" fontId="5" fillId="33" borderId="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justify" vertical="top" wrapText="1"/>
    </xf>
    <xf numFmtId="43" fontId="3" fillId="33" borderId="10" xfId="0" applyNumberFormat="1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justify" vertical="top" wrapText="1"/>
    </xf>
    <xf numFmtId="43" fontId="3" fillId="33" borderId="25" xfId="66" applyFont="1" applyFill="1" applyBorder="1" applyAlignment="1">
      <alignment horizontal="right"/>
    </xf>
    <xf numFmtId="0" fontId="3" fillId="33" borderId="1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justify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right" vertical="top" wrapText="1"/>
    </xf>
    <xf numFmtId="164" fontId="3" fillId="33" borderId="25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justify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43" fontId="3" fillId="33" borderId="17" xfId="0" applyNumberFormat="1" applyFont="1" applyFill="1" applyBorder="1" applyAlignment="1">
      <alignment horizontal="justify" vertical="top" wrapText="1"/>
    </xf>
    <xf numFmtId="43" fontId="3" fillId="33" borderId="14" xfId="0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5" fillId="33" borderId="0" xfId="50" applyFont="1" applyFill="1" applyAlignment="1">
      <alignment vertical="center" wrapText="1"/>
      <protection/>
    </xf>
    <xf numFmtId="165" fontId="3" fillId="33" borderId="13" xfId="66" applyNumberFormat="1" applyFont="1" applyFill="1" applyBorder="1" applyAlignment="1">
      <alignment horizontal="right" wrapText="1"/>
    </xf>
    <xf numFmtId="0" fontId="5" fillId="33" borderId="0" xfId="50" applyFont="1" applyFill="1" applyAlignment="1">
      <alignment vertical="center"/>
      <protection/>
    </xf>
    <xf numFmtId="0" fontId="5" fillId="33" borderId="0" xfId="50" applyFont="1" applyFill="1" applyBorder="1" applyAlignment="1">
      <alignment vertical="center"/>
      <protection/>
    </xf>
    <xf numFmtId="0" fontId="2" fillId="33" borderId="22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50" applyFont="1" applyFill="1" applyBorder="1" applyAlignment="1">
      <alignment horizontal="center" vertical="center" wrapText="1"/>
      <protection/>
    </xf>
    <xf numFmtId="0" fontId="5" fillId="33" borderId="18" xfId="52" applyFont="1" applyFill="1" applyBorder="1" applyAlignment="1">
      <alignment vertical="top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2" fillId="33" borderId="20" xfId="0" applyFont="1" applyFill="1" applyBorder="1" applyAlignment="1">
      <alignment horizontal="left" vertical="center"/>
    </xf>
    <xf numFmtId="165" fontId="2" fillId="33" borderId="20" xfId="66" applyNumberFormat="1" applyFont="1" applyFill="1" applyBorder="1" applyAlignment="1">
      <alignment horizontal="right"/>
    </xf>
    <xf numFmtId="165" fontId="2" fillId="33" borderId="18" xfId="66" applyNumberFormat="1" applyFont="1" applyFill="1" applyBorder="1" applyAlignment="1">
      <alignment horizontal="right"/>
    </xf>
    <xf numFmtId="0" fontId="23" fillId="33" borderId="18" xfId="52" applyFont="1" applyFill="1" applyBorder="1" applyAlignment="1">
      <alignment vertical="center" wrapText="1"/>
      <protection/>
    </xf>
    <xf numFmtId="0" fontId="23" fillId="33" borderId="13" xfId="52" applyFont="1" applyFill="1" applyBorder="1" applyAlignment="1">
      <alignment vertical="center" wrapText="1"/>
      <protection/>
    </xf>
    <xf numFmtId="0" fontId="23" fillId="33" borderId="15" xfId="52" applyFont="1" applyFill="1" applyBorder="1" applyAlignment="1">
      <alignment vertical="center" wrapText="1"/>
      <protection/>
    </xf>
    <xf numFmtId="0" fontId="22" fillId="33" borderId="20" xfId="52" applyFont="1" applyFill="1" applyBorder="1" applyAlignment="1">
      <alignment vertical="center" wrapText="1"/>
      <protection/>
    </xf>
    <xf numFmtId="165" fontId="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165" fontId="7" fillId="33" borderId="2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vertical="center" wrapText="1"/>
    </xf>
    <xf numFmtId="165" fontId="3" fillId="33" borderId="11" xfId="66" applyNumberFormat="1" applyFont="1" applyFill="1" applyBorder="1" applyAlignment="1">
      <alignment/>
    </xf>
    <xf numFmtId="165" fontId="3" fillId="33" borderId="15" xfId="66" applyNumberFormat="1" applyFont="1" applyFill="1" applyBorder="1" applyAlignment="1">
      <alignment/>
    </xf>
    <xf numFmtId="165" fontId="2" fillId="33" borderId="20" xfId="66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2" fillId="33" borderId="18" xfId="50" applyFont="1" applyFill="1" applyBorder="1" applyAlignment="1">
      <alignment horizontal="center" vertical="top" wrapText="1"/>
      <protection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5" fillId="33" borderId="0" xfId="52" applyFont="1" applyFill="1" applyBorder="1" applyAlignment="1">
      <alignment vertical="center" wrapText="1"/>
      <protection/>
    </xf>
    <xf numFmtId="165" fontId="3" fillId="33" borderId="0" xfId="66" applyNumberFormat="1" applyFont="1" applyFill="1" applyBorder="1" applyAlignment="1">
      <alignment/>
    </xf>
    <xf numFmtId="0" fontId="5" fillId="33" borderId="0" xfId="52" applyFont="1" applyFill="1" applyAlignment="1">
      <alignment vertical="center" wrapText="1"/>
      <protection/>
    </xf>
    <xf numFmtId="165" fontId="2" fillId="33" borderId="21" xfId="66" applyNumberFormat="1" applyFont="1" applyFill="1" applyBorder="1" applyAlignment="1">
      <alignment horizontal="right"/>
    </xf>
    <xf numFmtId="43" fontId="3" fillId="33" borderId="24" xfId="66" applyFont="1" applyFill="1" applyBorder="1" applyAlignment="1">
      <alignment horizontal="center"/>
    </xf>
    <xf numFmtId="43" fontId="3" fillId="33" borderId="0" xfId="66" applyFont="1" applyFill="1" applyBorder="1" applyAlignment="1">
      <alignment horizontal="center"/>
    </xf>
    <xf numFmtId="43" fontId="3" fillId="33" borderId="0" xfId="66" applyFont="1" applyFill="1" applyBorder="1" applyAlignment="1">
      <alignment/>
    </xf>
    <xf numFmtId="0" fontId="5" fillId="33" borderId="0" xfId="52" applyFont="1" applyFill="1" applyAlignment="1">
      <alignment vertical="center"/>
      <protection/>
    </xf>
    <xf numFmtId="0" fontId="3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/>
    </xf>
    <xf numFmtId="4" fontId="5" fillId="33" borderId="0" xfId="50" applyNumberFormat="1" applyFont="1" applyFill="1" applyBorder="1" applyAlignment="1">
      <alignment horizontal="left"/>
      <protection/>
    </xf>
    <xf numFmtId="4" fontId="5" fillId="33" borderId="0" xfId="50" applyNumberFormat="1" applyFont="1" applyFill="1" applyBorder="1" applyAlignment="1">
      <alignment/>
      <protection/>
    </xf>
    <xf numFmtId="0" fontId="5" fillId="33" borderId="0" xfId="50" applyFont="1" applyFill="1" applyBorder="1" applyAlignment="1">
      <alignment horizontal="left"/>
      <protection/>
    </xf>
    <xf numFmtId="4" fontId="5" fillId="33" borderId="0" xfId="50" applyNumberFormat="1" applyFont="1" applyFill="1" applyBorder="1" applyAlignment="1">
      <alignment horizontal="left" vertical="center"/>
      <protection/>
    </xf>
    <xf numFmtId="0" fontId="5" fillId="33" borderId="0" xfId="50" applyFont="1" applyFill="1" applyBorder="1" applyAlignment="1">
      <alignment/>
      <protection/>
    </xf>
    <xf numFmtId="4" fontId="5" fillId="33" borderId="0" xfId="50" applyNumberFormat="1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5" fillId="33" borderId="0" xfId="50" applyFont="1" applyFill="1" applyAlignment="1">
      <alignment horizontal="left" vertical="top"/>
      <protection/>
    </xf>
    <xf numFmtId="0" fontId="5" fillId="33" borderId="0" xfId="50" applyFont="1" applyFill="1" applyAlignment="1">
      <alignment/>
      <protection/>
    </xf>
    <xf numFmtId="0" fontId="26" fillId="33" borderId="0" xfId="50" applyFont="1" applyFill="1" applyAlignment="1">
      <alignment horizontal="left" vertical="top"/>
      <protection/>
    </xf>
    <xf numFmtId="0" fontId="13" fillId="33" borderId="0" xfId="50" applyFont="1" applyFill="1" applyAlignment="1">
      <alignment horizontal="left" vertical="top"/>
      <protection/>
    </xf>
    <xf numFmtId="0" fontId="11" fillId="33" borderId="0" xfId="50" applyNumberFormat="1" applyFont="1" applyFill="1" applyAlignment="1">
      <alignment/>
      <protection/>
    </xf>
    <xf numFmtId="0" fontId="3" fillId="33" borderId="0" xfId="50" applyFont="1" applyFill="1" applyAlignment="1">
      <alignment/>
      <protection/>
    </xf>
    <xf numFmtId="0" fontId="3" fillId="33" borderId="0" xfId="50" applyFont="1" applyFill="1" applyAlignment="1">
      <alignment horizontal="left"/>
      <protection/>
    </xf>
    <xf numFmtId="0" fontId="5" fillId="33" borderId="0" xfId="50" applyFont="1" applyFill="1" applyAlignment="1">
      <alignment horizontal="left"/>
      <protection/>
    </xf>
    <xf numFmtId="0" fontId="3" fillId="33" borderId="0" xfId="50" applyFont="1" applyFill="1" applyBorder="1" applyAlignment="1">
      <alignment/>
      <protection/>
    </xf>
    <xf numFmtId="0" fontId="9" fillId="33" borderId="0" xfId="50" applyFont="1" applyFill="1" applyAlignment="1">
      <alignment horizontal="left"/>
      <protection/>
    </xf>
    <xf numFmtId="0" fontId="5" fillId="33" borderId="0" xfId="50" applyFont="1" applyFill="1">
      <alignment/>
      <protection/>
    </xf>
    <xf numFmtId="164" fontId="5" fillId="33" borderId="0" xfId="50" applyNumberFormat="1" applyFont="1" applyFill="1" applyAlignment="1">
      <alignment horizontal="right"/>
      <protection/>
    </xf>
    <xf numFmtId="0" fontId="2" fillId="33" borderId="18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11" xfId="50" applyFont="1" applyFill="1" applyBorder="1" applyAlignment="1">
      <alignment horizontal="center"/>
      <protection/>
    </xf>
    <xf numFmtId="0" fontId="3" fillId="33" borderId="19" xfId="50" applyFont="1" applyFill="1" applyBorder="1" applyAlignment="1">
      <alignment/>
      <protection/>
    </xf>
    <xf numFmtId="0" fontId="3" fillId="33" borderId="17" xfId="50" applyFont="1" applyFill="1" applyBorder="1" applyAlignment="1">
      <alignment/>
      <protection/>
    </xf>
    <xf numFmtId="0" fontId="3" fillId="33" borderId="23" xfId="50" applyFont="1" applyFill="1" applyBorder="1" applyAlignment="1">
      <alignment horizontal="left" indent="1"/>
      <protection/>
    </xf>
    <xf numFmtId="37" fontId="3" fillId="33" borderId="23" xfId="50" applyNumberFormat="1" applyFont="1" applyFill="1" applyBorder="1" applyAlignment="1">
      <alignment horizontal="center"/>
      <protection/>
    </xf>
    <xf numFmtId="0" fontId="2" fillId="33" borderId="19" xfId="50" applyFont="1" applyFill="1" applyBorder="1" applyAlignment="1">
      <alignment horizontal="center" vertical="center" wrapText="1"/>
      <protection/>
    </xf>
    <xf numFmtId="37" fontId="2" fillId="33" borderId="12" xfId="50" applyNumberFormat="1" applyFont="1" applyFill="1" applyBorder="1" applyAlignment="1">
      <alignment horizontal="center"/>
      <protection/>
    </xf>
    <xf numFmtId="37" fontId="2" fillId="33" borderId="18" xfId="50" applyNumberFormat="1" applyFont="1" applyFill="1" applyBorder="1" applyAlignment="1">
      <alignment horizontal="center"/>
      <protection/>
    </xf>
    <xf numFmtId="37" fontId="2" fillId="33" borderId="18" xfId="50" applyNumberFormat="1" applyFont="1" applyFill="1" applyBorder="1" applyAlignment="1">
      <alignment horizontal="center" vertical="top" wrapText="1"/>
      <protection/>
    </xf>
    <xf numFmtId="49" fontId="7" fillId="33" borderId="0" xfId="50" applyNumberFormat="1" applyFont="1" applyFill="1" applyBorder="1" applyAlignment="1">
      <alignment horizontal="center"/>
      <protection/>
    </xf>
    <xf numFmtId="37" fontId="2" fillId="33" borderId="10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 vertical="top" wrapText="1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37" fontId="2" fillId="33" borderId="11" xfId="50" applyNumberFormat="1" applyFont="1" applyFill="1" applyBorder="1" applyAlignment="1">
      <alignment horizont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3" fillId="33" borderId="0" xfId="50" applyFont="1" applyFill="1" applyBorder="1" applyAlignment="1">
      <alignment horizontal="left" vertical="center" wrapText="1"/>
      <protection/>
    </xf>
    <xf numFmtId="49" fontId="3" fillId="33" borderId="0" xfId="50" applyNumberFormat="1" applyFont="1" applyFill="1" applyBorder="1" applyAlignment="1">
      <alignment/>
      <protection/>
    </xf>
    <xf numFmtId="49" fontId="3" fillId="33" borderId="23" xfId="50" applyNumberFormat="1" applyFont="1" applyFill="1" applyBorder="1" applyAlignment="1">
      <alignment horizontal="left" indent="1"/>
      <protection/>
    </xf>
    <xf numFmtId="37" fontId="3" fillId="33" borderId="24" xfId="50" applyNumberFormat="1" applyFont="1" applyFill="1" applyBorder="1" applyAlignment="1">
      <alignment/>
      <protection/>
    </xf>
    <xf numFmtId="37" fontId="2" fillId="33" borderId="24" xfId="50" applyNumberFormat="1" applyFont="1" applyFill="1" applyBorder="1" applyAlignment="1">
      <alignment horizontal="center"/>
      <protection/>
    </xf>
    <xf numFmtId="37" fontId="2" fillId="33" borderId="25" xfId="50" applyNumberFormat="1" applyFont="1" applyFill="1" applyBorder="1" applyAlignment="1">
      <alignment horizontal="center"/>
      <protection/>
    </xf>
    <xf numFmtId="49" fontId="3" fillId="33" borderId="15" xfId="50" applyNumberFormat="1" applyFont="1" applyFill="1" applyBorder="1" applyAlignment="1">
      <alignment/>
      <protection/>
    </xf>
    <xf numFmtId="43" fontId="3" fillId="33" borderId="23" xfId="66" applyFont="1" applyFill="1" applyBorder="1" applyAlignment="1">
      <alignment horizontal="right"/>
    </xf>
    <xf numFmtId="0" fontId="2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0" fontId="5" fillId="33" borderId="25" xfId="0" applyFont="1" applyFill="1" applyBorder="1" applyAlignment="1">
      <alignment/>
    </xf>
    <xf numFmtId="164" fontId="5" fillId="33" borderId="25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13" fillId="33" borderId="0" xfId="0" applyFont="1" applyFill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 vertical="center"/>
    </xf>
    <xf numFmtId="44" fontId="3" fillId="33" borderId="19" xfId="66" applyNumberFormat="1" applyFont="1" applyFill="1" applyBorder="1" applyAlignment="1">
      <alignment horizontal="right"/>
    </xf>
    <xf numFmtId="44" fontId="3" fillId="33" borderId="24" xfId="66" applyNumberFormat="1" applyFont="1" applyFill="1" applyBorder="1" applyAlignment="1">
      <alignment horizontal="right"/>
    </xf>
    <xf numFmtId="44" fontId="3" fillId="33" borderId="18" xfId="66" applyNumberFormat="1" applyFont="1" applyFill="1" applyBorder="1" applyAlignment="1">
      <alignment horizontal="right"/>
    </xf>
    <xf numFmtId="1" fontId="3" fillId="33" borderId="13" xfId="0" applyNumberFormat="1" applyFont="1" applyFill="1" applyBorder="1" applyAlignment="1">
      <alignment horizontal="center" vertical="center"/>
    </xf>
    <xf numFmtId="44" fontId="3" fillId="33" borderId="17" xfId="66" applyNumberFormat="1" applyFont="1" applyFill="1" applyBorder="1" applyAlignment="1">
      <alignment horizontal="right"/>
    </xf>
    <xf numFmtId="44" fontId="3" fillId="33" borderId="0" xfId="66" applyNumberFormat="1" applyFont="1" applyFill="1" applyBorder="1" applyAlignment="1">
      <alignment horizontal="right"/>
    </xf>
    <xf numFmtId="44" fontId="3" fillId="33" borderId="13" xfId="66" applyNumberFormat="1" applyFont="1" applyFill="1" applyBorder="1" applyAlignment="1">
      <alignment horizontal="right"/>
    </xf>
    <xf numFmtId="1" fontId="3" fillId="33" borderId="15" xfId="0" applyNumberFormat="1" applyFont="1" applyFill="1" applyBorder="1" applyAlignment="1">
      <alignment horizontal="center" vertical="center"/>
    </xf>
    <xf numFmtId="44" fontId="3" fillId="33" borderId="14" xfId="66" applyNumberFormat="1" applyFont="1" applyFill="1" applyBorder="1" applyAlignment="1">
      <alignment horizontal="right"/>
    </xf>
    <xf numFmtId="44" fontId="3" fillId="33" borderId="25" xfId="66" applyNumberFormat="1" applyFont="1" applyFill="1" applyBorder="1" applyAlignment="1">
      <alignment horizontal="right"/>
    </xf>
    <xf numFmtId="44" fontId="3" fillId="33" borderId="15" xfId="66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6" fillId="33" borderId="0" xfId="50" applyFont="1" applyFill="1" applyAlignment="1">
      <alignment/>
      <protection/>
    </xf>
    <xf numFmtId="0" fontId="13" fillId="33" borderId="0" xfId="50" applyFont="1" applyFill="1" applyAlignment="1">
      <alignment/>
      <protection/>
    </xf>
    <xf numFmtId="0" fontId="11" fillId="33" borderId="0" xfId="50" applyFont="1" applyFill="1" applyBorder="1" applyAlignment="1">
      <alignment horizontal="left" vertical="top"/>
      <protection/>
    </xf>
    <xf numFmtId="0" fontId="11" fillId="33" borderId="0" xfId="50" applyFont="1" applyFill="1" applyBorder="1" applyAlignment="1">
      <alignment horizontal="left" vertical="top" wrapText="1"/>
      <protection/>
    </xf>
    <xf numFmtId="0" fontId="5" fillId="33" borderId="0" xfId="50" applyFont="1" applyFill="1" applyBorder="1" applyAlignment="1">
      <alignment horizontal="right" vertical="top" wrapText="1"/>
      <protection/>
    </xf>
    <xf numFmtId="0" fontId="3" fillId="33" borderId="0" xfId="50" applyFont="1" applyFill="1" applyAlignment="1">
      <alignment horizontal="left" vertical="top" wrapText="1"/>
      <protection/>
    </xf>
    <xf numFmtId="0" fontId="5" fillId="33" borderId="0" xfId="50" applyFont="1" applyFill="1" applyAlignment="1">
      <alignment horizontal="left" vertical="top" wrapText="1"/>
      <protection/>
    </xf>
    <xf numFmtId="0" fontId="13" fillId="33" borderId="0" xfId="50" applyFont="1" applyFill="1" applyBorder="1" applyAlignment="1">
      <alignment wrapText="1"/>
      <protection/>
    </xf>
    <xf numFmtId="0" fontId="13" fillId="33" borderId="0" xfId="50" applyFont="1" applyFill="1" applyBorder="1" applyAlignment="1">
      <alignment/>
      <protection/>
    </xf>
    <xf numFmtId="0" fontId="5" fillId="33" borderId="0" xfId="50" applyFont="1" applyFill="1" applyAlignment="1">
      <alignment wrapText="1"/>
      <protection/>
    </xf>
    <xf numFmtId="0" fontId="9" fillId="33" borderId="0" xfId="50" applyFont="1" applyFill="1" applyAlignment="1">
      <alignment horizontal="left" vertical="top" wrapText="1"/>
      <protection/>
    </xf>
    <xf numFmtId="0" fontId="3" fillId="33" borderId="0" xfId="50" applyFont="1" applyFill="1" applyAlignment="1">
      <alignment vertical="top" wrapText="1"/>
      <protection/>
    </xf>
    <xf numFmtId="0" fontId="73" fillId="33" borderId="0" xfId="50" applyFont="1" applyFill="1" applyAlignment="1">
      <alignment vertical="top" wrapText="1"/>
      <protection/>
    </xf>
    <xf numFmtId="0" fontId="5" fillId="33" borderId="0" xfId="50" applyFont="1" applyFill="1" applyAlignment="1">
      <alignment vertical="top" wrapText="1"/>
      <protection/>
    </xf>
    <xf numFmtId="0" fontId="5" fillId="33" borderId="0" xfId="50" applyFont="1" applyFill="1" applyAlignment="1">
      <alignment horizontal="right" vertical="top" wrapText="1"/>
      <protection/>
    </xf>
    <xf numFmtId="0" fontId="5" fillId="33" borderId="0" xfId="50" applyFont="1" applyFill="1" applyBorder="1" applyAlignment="1">
      <alignment horizontal="left" vertical="top" wrapText="1"/>
      <protection/>
    </xf>
    <xf numFmtId="164" fontId="5" fillId="33" borderId="0" xfId="50" applyNumberFormat="1" applyFont="1" applyFill="1" applyBorder="1" applyAlignment="1">
      <alignment horizontal="right" vertical="top" wrapText="1"/>
      <protection/>
    </xf>
    <xf numFmtId="0" fontId="9" fillId="33" borderId="12" xfId="50" applyFont="1" applyFill="1" applyBorder="1" applyAlignment="1">
      <alignment horizontal="center" vertical="top" wrapText="1"/>
      <protection/>
    </xf>
    <xf numFmtId="0" fontId="9" fillId="33" borderId="18" xfId="50" applyFont="1" applyFill="1" applyBorder="1" applyAlignment="1">
      <alignment horizontal="center" vertical="top"/>
      <protection/>
    </xf>
    <xf numFmtId="0" fontId="9" fillId="33" borderId="19" xfId="50" applyFont="1" applyFill="1" applyBorder="1" applyAlignment="1">
      <alignment horizontal="center" vertical="top"/>
      <protection/>
    </xf>
    <xf numFmtId="0" fontId="9" fillId="33" borderId="11" xfId="50" applyFont="1" applyFill="1" applyBorder="1" applyAlignment="1">
      <alignment horizontal="center" vertical="top" wrapText="1"/>
      <protection/>
    </xf>
    <xf numFmtId="0" fontId="9" fillId="33" borderId="15" xfId="50" applyFont="1" applyFill="1" applyBorder="1" applyAlignment="1">
      <alignment horizontal="center" vertical="top"/>
      <protection/>
    </xf>
    <xf numFmtId="0" fontId="9" fillId="33" borderId="14" xfId="50" applyFont="1" applyFill="1" applyBorder="1" applyAlignment="1">
      <alignment horizontal="center" vertical="top"/>
      <protection/>
    </xf>
    <xf numFmtId="0" fontId="5" fillId="33" borderId="20" xfId="50" applyFont="1" applyFill="1" applyBorder="1" applyAlignment="1">
      <alignment horizontal="left" wrapText="1"/>
      <protection/>
    </xf>
    <xf numFmtId="0" fontId="5" fillId="33" borderId="18" xfId="50" applyFont="1" applyFill="1" applyBorder="1" applyAlignment="1">
      <alignment horizontal="center" vertical="top" wrapText="1"/>
      <protection/>
    </xf>
    <xf numFmtId="0" fontId="9" fillId="33" borderId="18" xfId="50" applyFont="1" applyFill="1" applyBorder="1" applyAlignment="1">
      <alignment horizontal="center" vertical="top" wrapText="1"/>
      <protection/>
    </xf>
    <xf numFmtId="0" fontId="12" fillId="33" borderId="13" xfId="50" applyFont="1" applyFill="1" applyBorder="1" applyAlignment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0" fontId="9" fillId="33" borderId="15" xfId="50" applyFont="1" applyFill="1" applyBorder="1" applyAlignment="1">
      <alignment horizontal="center" vertical="top" wrapText="1"/>
      <protection/>
    </xf>
    <xf numFmtId="0" fontId="12" fillId="33" borderId="18" xfId="50" applyFont="1" applyFill="1" applyBorder="1" applyAlignment="1">
      <alignment horizontal="left" wrapText="1"/>
      <protection/>
    </xf>
    <xf numFmtId="165" fontId="9" fillId="33" borderId="12" xfId="50" applyNumberFormat="1" applyFont="1" applyFill="1" applyBorder="1" applyAlignment="1">
      <alignment horizontal="center" vertical="center" wrapText="1"/>
      <protection/>
    </xf>
    <xf numFmtId="165" fontId="9" fillId="33" borderId="18" xfId="50" applyNumberFormat="1" applyFont="1" applyFill="1" applyBorder="1" applyAlignment="1">
      <alignment horizontal="center" vertical="center" wrapText="1"/>
      <protection/>
    </xf>
    <xf numFmtId="0" fontId="12" fillId="33" borderId="15" xfId="50" applyFont="1" applyFill="1" applyBorder="1" applyAlignment="1">
      <alignment horizontal="left" wrapText="1"/>
      <protection/>
    </xf>
    <xf numFmtId="165" fontId="9" fillId="33" borderId="11" xfId="50" applyNumberFormat="1" applyFont="1" applyFill="1" applyBorder="1" applyAlignment="1">
      <alignment horizontal="center" vertical="center" wrapText="1"/>
      <protection/>
    </xf>
    <xf numFmtId="165" fontId="9" fillId="33" borderId="15" xfId="50" applyNumberFormat="1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/>
      <protection/>
    </xf>
    <xf numFmtId="0" fontId="14" fillId="33" borderId="0" xfId="50" applyFont="1" applyFill="1" applyAlignment="1">
      <alignment vertical="top" wrapText="1"/>
      <protection/>
    </xf>
    <xf numFmtId="0" fontId="0" fillId="33" borderId="0" xfId="50" applyFont="1" applyFill="1" applyBorder="1" applyAlignment="1">
      <alignment/>
      <protection/>
    </xf>
    <xf numFmtId="0" fontId="27" fillId="33" borderId="0" xfId="50" applyFont="1" applyFill="1" applyBorder="1" applyAlignment="1">
      <alignment/>
      <protection/>
    </xf>
    <xf numFmtId="0" fontId="28" fillId="33" borderId="0" xfId="50" applyFont="1" applyFill="1" applyBorder="1" applyAlignment="1">
      <alignment/>
      <protection/>
    </xf>
    <xf numFmtId="0" fontId="11" fillId="33" borderId="0" xfId="50" applyFont="1" applyFill="1" applyAlignment="1">
      <alignment horizontal="left"/>
      <protection/>
    </xf>
    <xf numFmtId="0" fontId="9" fillId="33" borderId="0" xfId="50" applyFont="1" applyFill="1" applyAlignment="1">
      <alignment/>
      <protection/>
    </xf>
    <xf numFmtId="0" fontId="5" fillId="33" borderId="0" xfId="50" applyFont="1" applyFill="1" applyAlignment="1">
      <alignment horizontal="center"/>
      <protection/>
    </xf>
    <xf numFmtId="0" fontId="9" fillId="33" borderId="18" xfId="50" applyFont="1" applyFill="1" applyBorder="1" applyAlignment="1">
      <alignment/>
      <protection/>
    </xf>
    <xf numFmtId="0" fontId="9" fillId="33" borderId="12" xfId="50" applyFont="1" applyFill="1" applyBorder="1" applyAlignment="1">
      <alignment horizontal="center"/>
      <protection/>
    </xf>
    <xf numFmtId="0" fontId="9" fillId="33" borderId="13" xfId="50" applyFont="1" applyFill="1" applyBorder="1" applyAlignment="1">
      <alignment horizontal="center"/>
      <protection/>
    </xf>
    <xf numFmtId="0" fontId="9" fillId="33" borderId="10" xfId="50" applyFont="1" applyFill="1" applyBorder="1" applyAlignment="1">
      <alignment horizontal="center"/>
      <protection/>
    </xf>
    <xf numFmtId="0" fontId="9" fillId="33" borderId="18" xfId="50" applyFont="1" applyFill="1" applyBorder="1" applyAlignment="1">
      <alignment horizontal="center"/>
      <protection/>
    </xf>
    <xf numFmtId="0" fontId="9" fillId="33" borderId="15" xfId="50" applyFont="1" applyFill="1" applyBorder="1" applyAlignment="1">
      <alignment/>
      <protection/>
    </xf>
    <xf numFmtId="0" fontId="9" fillId="33" borderId="11" xfId="50" applyFont="1" applyFill="1" applyBorder="1" applyAlignment="1">
      <alignment horizontal="center"/>
      <protection/>
    </xf>
    <xf numFmtId="0" fontId="9" fillId="33" borderId="15" xfId="50" applyFont="1" applyFill="1" applyBorder="1" applyAlignment="1">
      <alignment horizontal="center"/>
      <protection/>
    </xf>
    <xf numFmtId="4" fontId="5" fillId="33" borderId="13" xfId="50" applyNumberFormat="1" applyFont="1" applyFill="1" applyBorder="1" applyAlignment="1">
      <alignment horizontal="left" vertical="top" wrapText="1"/>
      <protection/>
    </xf>
    <xf numFmtId="4" fontId="5" fillId="33" borderId="0" xfId="50" applyNumberFormat="1" applyFont="1" applyFill="1" applyAlignment="1">
      <alignment/>
      <protection/>
    </xf>
    <xf numFmtId="4" fontId="10" fillId="33" borderId="13" xfId="50" applyNumberFormat="1" applyFont="1" applyFill="1" applyBorder="1" applyAlignment="1">
      <alignment horizontal="left" vertical="top" wrapText="1"/>
      <protection/>
    </xf>
    <xf numFmtId="4" fontId="5" fillId="33" borderId="20" xfId="50" applyNumberFormat="1" applyFont="1" applyFill="1" applyBorder="1" applyAlignment="1">
      <alignment horizontal="left" vertical="top" wrapText="1"/>
      <protection/>
    </xf>
    <xf numFmtId="4" fontId="5" fillId="33" borderId="23" xfId="50" applyNumberFormat="1" applyFont="1" applyFill="1" applyBorder="1" applyAlignment="1">
      <alignment horizontal="left" vertical="top" wrapText="1"/>
      <protection/>
    </xf>
    <xf numFmtId="4" fontId="5" fillId="33" borderId="23" xfId="50" applyNumberFormat="1" applyFont="1" applyFill="1" applyBorder="1" applyAlignment="1">
      <alignment/>
      <protection/>
    </xf>
    <xf numFmtId="4" fontId="9" fillId="33" borderId="12" xfId="50" applyNumberFormat="1" applyFont="1" applyFill="1" applyBorder="1" applyAlignment="1">
      <alignment/>
      <protection/>
    </xf>
    <xf numFmtId="4" fontId="9" fillId="33" borderId="12" xfId="50" applyNumberFormat="1" applyFont="1" applyFill="1" applyBorder="1" applyAlignment="1">
      <alignment horizontal="center"/>
      <protection/>
    </xf>
    <xf numFmtId="4" fontId="9" fillId="33" borderId="10" xfId="50" applyNumberFormat="1" applyFont="1" applyFill="1" applyBorder="1" applyAlignment="1">
      <alignment horizontal="center"/>
      <protection/>
    </xf>
    <xf numFmtId="4" fontId="9" fillId="33" borderId="18" xfId="50" applyNumberFormat="1" applyFont="1" applyFill="1" applyBorder="1" applyAlignment="1">
      <alignment horizontal="center"/>
      <protection/>
    </xf>
    <xf numFmtId="4" fontId="9" fillId="33" borderId="19" xfId="50" applyNumberFormat="1" applyFont="1" applyFill="1" applyBorder="1" applyAlignment="1">
      <alignment horizontal="center"/>
      <protection/>
    </xf>
    <xf numFmtId="4" fontId="9" fillId="33" borderId="15" xfId="50" applyNumberFormat="1" applyFont="1" applyFill="1" applyBorder="1" applyAlignment="1">
      <alignment/>
      <protection/>
    </xf>
    <xf numFmtId="4" fontId="9" fillId="33" borderId="11" xfId="50" applyNumberFormat="1" applyFont="1" applyFill="1" applyBorder="1" applyAlignment="1">
      <alignment horizontal="center"/>
      <protection/>
    </xf>
    <xf numFmtId="4" fontId="9" fillId="33" borderId="15" xfId="50" applyNumberFormat="1" applyFont="1" applyFill="1" applyBorder="1" applyAlignment="1">
      <alignment horizontal="center"/>
      <protection/>
    </xf>
    <xf numFmtId="4" fontId="9" fillId="33" borderId="14" xfId="50" applyNumberFormat="1" applyFont="1" applyFill="1" applyBorder="1" applyAlignment="1">
      <alignment horizontal="center"/>
      <protection/>
    </xf>
    <xf numFmtId="165" fontId="3" fillId="33" borderId="19" xfId="66" applyNumberFormat="1" applyFont="1" applyFill="1" applyBorder="1" applyAlignment="1">
      <alignment horizontal="right"/>
    </xf>
    <xf numFmtId="4" fontId="5" fillId="33" borderId="13" xfId="50" applyNumberFormat="1" applyFont="1" applyFill="1" applyBorder="1" applyAlignment="1">
      <alignment horizontal="left" wrapText="1"/>
      <protection/>
    </xf>
    <xf numFmtId="4" fontId="5" fillId="33" borderId="13" xfId="50" applyNumberFormat="1" applyFont="1" applyFill="1" applyBorder="1" applyAlignment="1">
      <alignment horizontal="justify" vertical="top" wrapText="1"/>
      <protection/>
    </xf>
    <xf numFmtId="4" fontId="10" fillId="33" borderId="13" xfId="50" applyNumberFormat="1" applyFont="1" applyFill="1" applyBorder="1" applyAlignment="1">
      <alignment horizontal="justify" vertical="top" wrapText="1"/>
      <protection/>
    </xf>
    <xf numFmtId="165" fontId="3" fillId="33" borderId="23" xfId="66" applyNumberFormat="1" applyFont="1" applyFill="1" applyBorder="1" applyAlignment="1">
      <alignment horizontal="right" wrapText="1"/>
    </xf>
    <xf numFmtId="165" fontId="3" fillId="33" borderId="20" xfId="66" applyNumberFormat="1" applyFont="1" applyFill="1" applyBorder="1" applyAlignment="1">
      <alignment horizontal="right" wrapText="1"/>
    </xf>
    <xf numFmtId="4" fontId="5" fillId="33" borderId="23" xfId="50" applyNumberFormat="1" applyFont="1" applyFill="1" applyBorder="1" applyAlignment="1">
      <alignment horizontal="right" vertical="top" wrapText="1"/>
      <protection/>
    </xf>
    <xf numFmtId="4" fontId="9" fillId="33" borderId="10" xfId="50" applyNumberFormat="1" applyFont="1" applyFill="1" applyBorder="1" applyAlignment="1">
      <alignment/>
      <protection/>
    </xf>
    <xf numFmtId="4" fontId="9" fillId="33" borderId="13" xfId="50" applyNumberFormat="1" applyFont="1" applyFill="1" applyBorder="1" applyAlignment="1">
      <alignment/>
      <protection/>
    </xf>
    <xf numFmtId="4" fontId="5" fillId="33" borderId="18" xfId="50" applyNumberFormat="1" applyFont="1" applyFill="1" applyBorder="1" applyAlignment="1">
      <alignment horizontal="left" vertical="top" wrapText="1"/>
      <protection/>
    </xf>
    <xf numFmtId="165" fontId="3" fillId="33" borderId="24" xfId="66" applyNumberFormat="1" applyFont="1" applyFill="1" applyBorder="1" applyAlignment="1">
      <alignment/>
    </xf>
    <xf numFmtId="165" fontId="3" fillId="33" borderId="19" xfId="66" applyNumberFormat="1" applyFont="1" applyFill="1" applyBorder="1" applyAlignment="1">
      <alignment/>
    </xf>
    <xf numFmtId="165" fontId="3" fillId="33" borderId="17" xfId="66" applyNumberFormat="1" applyFont="1" applyFill="1" applyBorder="1" applyAlignment="1">
      <alignment/>
    </xf>
    <xf numFmtId="165" fontId="3" fillId="33" borderId="23" xfId="66" applyNumberFormat="1" applyFont="1" applyFill="1" applyBorder="1" applyAlignment="1">
      <alignment/>
    </xf>
    <xf numFmtId="4" fontId="5" fillId="33" borderId="10" xfId="50" applyNumberFormat="1" applyFont="1" applyFill="1" applyBorder="1" applyAlignment="1">
      <alignment horizontal="left" vertical="top" wrapText="1"/>
      <protection/>
    </xf>
    <xf numFmtId="4" fontId="0" fillId="33" borderId="24" xfId="66" applyNumberFormat="1" applyFont="1" applyFill="1" applyBorder="1" applyAlignment="1">
      <alignment horizontal="right"/>
    </xf>
    <xf numFmtId="4" fontId="0" fillId="33" borderId="19" xfId="66" applyNumberFormat="1" applyFont="1" applyFill="1" applyBorder="1" applyAlignment="1">
      <alignment horizontal="right"/>
    </xf>
    <xf numFmtId="4" fontId="9" fillId="33" borderId="0" xfId="50" applyNumberFormat="1" applyFont="1" applyFill="1" applyBorder="1" applyAlignment="1">
      <alignment/>
      <protection/>
    </xf>
    <xf numFmtId="0" fontId="9" fillId="33" borderId="0" xfId="50" applyFont="1" applyFill="1" applyBorder="1" applyAlignment="1">
      <alignment/>
      <protection/>
    </xf>
    <xf numFmtId="4" fontId="5" fillId="33" borderId="25" xfId="66" applyNumberFormat="1" applyFont="1" applyFill="1" applyBorder="1" applyAlignment="1">
      <alignment horizontal="left" wrapText="1"/>
    </xf>
    <xf numFmtId="49" fontId="73" fillId="33" borderId="25" xfId="66" applyNumberFormat="1" applyFont="1" applyFill="1" applyBorder="1" applyAlignment="1">
      <alignment horizontal="right" wrapText="1"/>
    </xf>
    <xf numFmtId="4" fontId="5" fillId="33" borderId="25" xfId="66" applyNumberFormat="1" applyFont="1" applyFill="1" applyBorder="1" applyAlignment="1">
      <alignment horizontal="right" wrapText="1"/>
    </xf>
    <xf numFmtId="4" fontId="5" fillId="33" borderId="14" xfId="66" applyNumberFormat="1" applyFont="1" applyFill="1" applyBorder="1" applyAlignment="1">
      <alignment horizontal="right" wrapText="1"/>
    </xf>
    <xf numFmtId="4" fontId="5" fillId="33" borderId="0" xfId="50" applyNumberFormat="1" applyFont="1" applyFill="1" applyBorder="1" applyAlignment="1">
      <alignment horizontal="left" vertical="top" wrapText="1"/>
      <protection/>
    </xf>
    <xf numFmtId="4" fontId="5" fillId="33" borderId="0" xfId="51" applyNumberFormat="1" applyFont="1" applyFill="1" applyBorder="1" applyAlignment="1">
      <alignment/>
      <protection/>
    </xf>
    <xf numFmtId="0" fontId="5" fillId="33" borderId="0" xfId="51" applyFont="1" applyFill="1" applyBorder="1" applyAlignment="1">
      <alignment/>
      <protection/>
    </xf>
    <xf numFmtId="4" fontId="5" fillId="33" borderId="25" xfId="50" applyNumberFormat="1" applyFont="1" applyFill="1" applyBorder="1" applyAlignment="1">
      <alignment horizontal="left" vertical="top" wrapText="1"/>
      <protection/>
    </xf>
    <xf numFmtId="4" fontId="9" fillId="33" borderId="18" xfId="51" applyNumberFormat="1" applyFont="1" applyFill="1" applyBorder="1" applyAlignment="1">
      <alignment horizontal="center" wrapText="1"/>
      <protection/>
    </xf>
    <xf numFmtId="0" fontId="5" fillId="33" borderId="0" xfId="51" applyFont="1" applyFill="1" applyBorder="1" applyAlignment="1">
      <alignment vertical="center"/>
      <protection/>
    </xf>
    <xf numFmtId="0" fontId="5" fillId="33" borderId="0" xfId="51" applyFont="1" applyFill="1" applyBorder="1" applyAlignment="1">
      <alignment horizontal="center" wrapText="1"/>
      <protection/>
    </xf>
    <xf numFmtId="0" fontId="5" fillId="33" borderId="0" xfId="51" applyFont="1" applyFill="1" applyBorder="1" applyAlignment="1">
      <alignment horizontal="center"/>
      <protection/>
    </xf>
    <xf numFmtId="4" fontId="9" fillId="33" borderId="13" xfId="50" applyNumberFormat="1" applyFont="1" applyFill="1" applyBorder="1" applyAlignment="1">
      <alignment horizontal="center"/>
      <protection/>
    </xf>
    <xf numFmtId="4" fontId="9" fillId="33" borderId="24" xfId="50" applyNumberFormat="1" applyFont="1" applyFill="1" applyBorder="1" applyAlignment="1">
      <alignment horizontal="center"/>
      <protection/>
    </xf>
    <xf numFmtId="4" fontId="9" fillId="33" borderId="13" xfId="51" applyNumberFormat="1" applyFont="1" applyFill="1" applyBorder="1" applyAlignment="1">
      <alignment horizontal="center"/>
      <protection/>
    </xf>
    <xf numFmtId="4" fontId="9" fillId="33" borderId="25" xfId="50" applyNumberFormat="1" applyFont="1" applyFill="1" applyBorder="1" applyAlignment="1">
      <alignment horizontal="center"/>
      <protection/>
    </xf>
    <xf numFmtId="4" fontId="9" fillId="33" borderId="15" xfId="51" applyNumberFormat="1" applyFont="1" applyFill="1" applyBorder="1" applyAlignment="1">
      <alignment horizontal="center"/>
      <protection/>
    </xf>
    <xf numFmtId="4" fontId="5" fillId="33" borderId="19" xfId="50" applyNumberFormat="1" applyFont="1" applyFill="1" applyBorder="1" applyAlignment="1">
      <alignment horizontal="left" vertical="top" wrapText="1"/>
      <protection/>
    </xf>
    <xf numFmtId="4" fontId="5" fillId="33" borderId="17" xfId="50" applyNumberFormat="1" applyFont="1" applyFill="1" applyBorder="1" applyAlignment="1">
      <alignment horizontal="left" vertical="top" wrapText="1"/>
      <protection/>
    </xf>
    <xf numFmtId="165" fontId="3" fillId="33" borderId="0" xfId="66" applyNumberFormat="1" applyFont="1" applyFill="1" applyAlignment="1">
      <alignment/>
    </xf>
    <xf numFmtId="4" fontId="5" fillId="33" borderId="14" xfId="50" applyNumberFormat="1" applyFont="1" applyFill="1" applyBorder="1" applyAlignment="1">
      <alignment horizontal="left" vertical="top" wrapText="1"/>
      <protection/>
    </xf>
    <xf numFmtId="165" fontId="3" fillId="33" borderId="21" xfId="66" applyNumberFormat="1" applyFont="1" applyFill="1" applyBorder="1" applyAlignment="1">
      <alignment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4" xfId="50" applyNumberFormat="1" applyFont="1" applyFill="1" applyBorder="1" applyAlignment="1">
      <alignment/>
      <protection/>
    </xf>
    <xf numFmtId="4" fontId="9" fillId="33" borderId="22" xfId="50" applyNumberFormat="1" applyFont="1" applyFill="1" applyBorder="1" applyAlignment="1">
      <alignment horizontal="center" vertical="center" wrapText="1"/>
      <protection/>
    </xf>
    <xf numFmtId="4" fontId="9" fillId="33" borderId="20" xfId="50" applyNumberFormat="1" applyFont="1" applyFill="1" applyBorder="1" applyAlignment="1">
      <alignment horizontal="center" vertical="center" wrapText="1"/>
      <protection/>
    </xf>
    <xf numFmtId="4" fontId="5" fillId="33" borderId="12" xfId="50" applyNumberFormat="1" applyFont="1" applyFill="1" applyBorder="1" applyAlignment="1">
      <alignment horizontal="left" vertical="top" wrapText="1"/>
      <protection/>
    </xf>
    <xf numFmtId="4" fontId="5" fillId="33" borderId="10" xfId="50" applyNumberFormat="1" applyFont="1" applyFill="1" applyBorder="1" applyAlignment="1">
      <alignment vertical="top" wrapText="1"/>
      <protection/>
    </xf>
    <xf numFmtId="4" fontId="5" fillId="33" borderId="11" xfId="50" applyNumberFormat="1" applyFont="1" applyFill="1" applyBorder="1" applyAlignment="1">
      <alignment vertical="top" wrapText="1"/>
      <protection/>
    </xf>
    <xf numFmtId="4" fontId="5" fillId="33" borderId="22" xfId="50" applyNumberFormat="1" applyFont="1" applyFill="1" applyBorder="1" applyAlignment="1">
      <alignment vertical="top" wrapText="1"/>
      <protection/>
    </xf>
    <xf numFmtId="4" fontId="5" fillId="33" borderId="23" xfId="50" applyNumberFormat="1" applyFont="1" applyFill="1" applyBorder="1" applyAlignment="1">
      <alignment vertical="top" wrapText="1"/>
      <protection/>
    </xf>
    <xf numFmtId="4" fontId="5" fillId="33" borderId="0" xfId="50" applyNumberFormat="1" applyFont="1" applyFill="1" applyBorder="1" applyAlignment="1">
      <alignment vertical="top" wrapText="1"/>
      <protection/>
    </xf>
    <xf numFmtId="4" fontId="0" fillId="33" borderId="0" xfId="50" applyNumberFormat="1" applyFont="1" applyFill="1" applyBorder="1" applyAlignment="1">
      <alignment vertical="top" wrapText="1"/>
      <protection/>
    </xf>
    <xf numFmtId="4" fontId="5" fillId="33" borderId="10" xfId="50" applyNumberFormat="1" applyFont="1" applyFill="1" applyBorder="1" applyAlignment="1">
      <alignment vertical="top"/>
      <protection/>
    </xf>
    <xf numFmtId="4" fontId="5" fillId="33" borderId="11" xfId="50" applyNumberFormat="1" applyFont="1" applyFill="1" applyBorder="1" applyAlignment="1">
      <alignment horizontal="left" vertical="top" wrapText="1"/>
      <protection/>
    </xf>
    <xf numFmtId="165" fontId="3" fillId="33" borderId="15" xfId="66" applyNumberFormat="1" applyFont="1" applyFill="1" applyBorder="1" applyAlignment="1">
      <alignment horizontal="right" wrapText="1"/>
    </xf>
    <xf numFmtId="4" fontId="5" fillId="33" borderId="0" xfId="50" applyNumberFormat="1" applyFont="1" applyFill="1" applyBorder="1" applyAlignment="1">
      <alignment vertical="center" wrapText="1"/>
      <protection/>
    </xf>
    <xf numFmtId="4" fontId="5" fillId="33" borderId="0" xfId="50" applyNumberFormat="1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 vertical="center"/>
      <protection/>
    </xf>
    <xf numFmtId="4" fontId="5" fillId="33" borderId="10" xfId="50" applyNumberFormat="1" applyFont="1" applyFill="1" applyBorder="1" applyAlignment="1">
      <alignment horizontal="left" vertical="center" wrapText="1"/>
      <protection/>
    </xf>
    <xf numFmtId="4" fontId="5" fillId="33" borderId="11" xfId="50" applyNumberFormat="1" applyFont="1" applyFill="1" applyBorder="1" applyAlignment="1">
      <alignment horizontal="left" vertical="center" wrapText="1"/>
      <protection/>
    </xf>
    <xf numFmtId="4" fontId="5" fillId="33" borderId="15" xfId="50" applyNumberFormat="1" applyFont="1" applyFill="1" applyBorder="1" applyAlignment="1">
      <alignment horizontal="left" vertical="top" wrapText="1"/>
      <protection/>
    </xf>
    <xf numFmtId="4" fontId="5" fillId="33" borderId="10" xfId="50" applyNumberFormat="1" applyFont="1" applyFill="1" applyBorder="1" applyAlignment="1">
      <alignment horizontal="left" wrapText="1"/>
      <protection/>
    </xf>
    <xf numFmtId="165" fontId="3" fillId="33" borderId="23" xfId="50" applyNumberFormat="1" applyFont="1" applyFill="1" applyBorder="1" applyAlignment="1">
      <alignment horizontal="right"/>
      <protection/>
    </xf>
    <xf numFmtId="4" fontId="5" fillId="33" borderId="22" xfId="50" applyNumberFormat="1" applyFont="1" applyFill="1" applyBorder="1" applyAlignment="1">
      <alignment horizontal="left" vertical="center" wrapText="1"/>
      <protection/>
    </xf>
    <xf numFmtId="4" fontId="5" fillId="33" borderId="0" xfId="50" applyNumberFormat="1" applyFont="1" applyFill="1" applyBorder="1" applyAlignment="1">
      <alignment horizontal="left" vertical="center" wrapText="1"/>
      <protection/>
    </xf>
    <xf numFmtId="4" fontId="5" fillId="33" borderId="0" xfId="50" applyNumberFormat="1" applyFont="1" applyFill="1" applyAlignment="1">
      <alignment horizontal="left" vertical="center"/>
      <protection/>
    </xf>
    <xf numFmtId="0" fontId="5" fillId="33" borderId="0" xfId="50" applyFont="1" applyFill="1" applyAlignment="1">
      <alignment horizontal="left" vertical="center"/>
      <protection/>
    </xf>
    <xf numFmtId="4" fontId="5" fillId="33" borderId="24" xfId="50" applyNumberFormat="1" applyFont="1" applyFill="1" applyBorder="1" applyAlignment="1">
      <alignment horizontal="left" vertical="center" wrapText="1"/>
      <protection/>
    </xf>
    <xf numFmtId="4" fontId="9" fillId="33" borderId="18" xfId="50" applyNumberFormat="1" applyFont="1" applyFill="1" applyBorder="1" applyAlignment="1">
      <alignment horizontal="center" vertical="center" wrapText="1"/>
      <protection/>
    </xf>
    <xf numFmtId="4" fontId="9" fillId="33" borderId="13" xfId="50" applyNumberFormat="1" applyFont="1" applyFill="1" applyBorder="1" applyAlignment="1">
      <alignment horizontal="center" vertical="center" wrapText="1"/>
      <protection/>
    </xf>
    <xf numFmtId="4" fontId="9" fillId="33" borderId="15" xfId="50" applyNumberFormat="1" applyFont="1" applyFill="1" applyBorder="1" applyAlignment="1">
      <alignment horizontal="center" vertical="center" wrapText="1"/>
      <protection/>
    </xf>
    <xf numFmtId="4" fontId="5" fillId="33" borderId="15" xfId="50" applyNumberFormat="1" applyFont="1" applyFill="1" applyBorder="1" applyAlignment="1">
      <alignment horizontal="left" wrapText="1"/>
      <protection/>
    </xf>
    <xf numFmtId="4" fontId="5" fillId="33" borderId="24" xfId="50" applyNumberFormat="1" applyFont="1" applyFill="1" applyBorder="1" applyAlignment="1">
      <alignment horizontal="left" wrapText="1"/>
      <protection/>
    </xf>
    <xf numFmtId="4" fontId="9" fillId="33" borderId="12" xfId="50" applyNumberFormat="1" applyFont="1" applyFill="1" applyBorder="1" applyAlignment="1">
      <alignment horizontal="center" vertical="center" wrapText="1"/>
      <protection/>
    </xf>
    <xf numFmtId="4" fontId="5" fillId="33" borderId="12" xfId="50" applyNumberFormat="1" applyFont="1" applyFill="1" applyBorder="1" applyAlignment="1">
      <alignment horizontal="left" vertical="center"/>
      <protection/>
    </xf>
    <xf numFmtId="4" fontId="5" fillId="33" borderId="10" xfId="50" applyNumberFormat="1" applyFont="1" applyFill="1" applyBorder="1" applyAlignment="1">
      <alignment horizontal="left" vertical="center"/>
      <protection/>
    </xf>
    <xf numFmtId="4" fontId="5" fillId="33" borderId="11" xfId="50" applyNumberFormat="1" applyFont="1" applyFill="1" applyBorder="1" applyAlignment="1">
      <alignment horizontal="left" vertical="center"/>
      <protection/>
    </xf>
    <xf numFmtId="43" fontId="5" fillId="33" borderId="0" xfId="66" applyFont="1" applyFill="1" applyBorder="1" applyAlignment="1">
      <alignment horizontal="left" vertical="center"/>
    </xf>
    <xf numFmtId="43" fontId="5" fillId="33" borderId="0" xfId="66" applyFont="1" applyFill="1" applyBorder="1" applyAlignment="1">
      <alignment horizontal="center"/>
    </xf>
    <xf numFmtId="4" fontId="9" fillId="33" borderId="18" xfId="50" applyNumberFormat="1" applyFont="1" applyFill="1" applyBorder="1" applyAlignment="1">
      <alignment horizontal="center" vertical="center"/>
      <protection/>
    </xf>
    <xf numFmtId="4" fontId="9" fillId="33" borderId="13" xfId="50" applyNumberFormat="1" applyFont="1" applyFill="1" applyBorder="1" applyAlignment="1">
      <alignment horizontal="center" vertical="center"/>
      <protection/>
    </xf>
    <xf numFmtId="4" fontId="5" fillId="33" borderId="18" xfId="50" applyNumberFormat="1" applyFont="1" applyFill="1" applyBorder="1" applyAlignment="1">
      <alignment vertical="top" wrapText="1"/>
      <protection/>
    </xf>
    <xf numFmtId="4" fontId="5" fillId="33" borderId="13" xfId="50" applyNumberFormat="1" applyFont="1" applyFill="1" applyBorder="1" applyAlignment="1">
      <alignment vertical="top" wrapText="1"/>
      <protection/>
    </xf>
    <xf numFmtId="0" fontId="5" fillId="33" borderId="13" xfId="50" applyFont="1" applyFill="1" applyBorder="1" applyAlignment="1">
      <alignment horizontal="left" vertical="top" wrapText="1"/>
      <protection/>
    </xf>
    <xf numFmtId="0" fontId="5" fillId="33" borderId="25" xfId="50" applyFont="1" applyFill="1" applyBorder="1" applyAlignment="1">
      <alignment horizontal="left" vertical="top" wrapText="1"/>
      <protection/>
    </xf>
    <xf numFmtId="4" fontId="3" fillId="33" borderId="0" xfId="50" applyNumberFormat="1" applyFont="1" applyFill="1" applyBorder="1" applyAlignment="1">
      <alignment/>
      <protection/>
    </xf>
    <xf numFmtId="4" fontId="14" fillId="33" borderId="0" xfId="50" applyNumberFormat="1" applyFont="1" applyFill="1" applyBorder="1" applyAlignment="1">
      <alignment/>
      <protection/>
    </xf>
    <xf numFmtId="4" fontId="14" fillId="33" borderId="0" xfId="50" applyNumberFormat="1" applyFont="1" applyFill="1" applyAlignment="1">
      <alignment/>
      <protection/>
    </xf>
    <xf numFmtId="4" fontId="14" fillId="33" borderId="0" xfId="50" applyNumberFormat="1" applyFont="1" applyFill="1" applyAlignment="1">
      <alignment horizontal="left"/>
      <protection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left" vertical="center"/>
    </xf>
    <xf numFmtId="4" fontId="0" fillId="33" borderId="0" xfId="50" applyNumberFormat="1" applyFont="1" applyFill="1" applyBorder="1" applyAlignment="1">
      <alignment/>
      <protection/>
    </xf>
    <xf numFmtId="4" fontId="0" fillId="33" borderId="0" xfId="50" applyNumberFormat="1" applyFont="1" applyFill="1" applyBorder="1" applyAlignment="1">
      <alignment horizontal="left" vertical="center"/>
      <protection/>
    </xf>
    <xf numFmtId="4" fontId="29" fillId="33" borderId="0" xfId="50" applyNumberFormat="1" applyFont="1" applyFill="1" applyBorder="1" applyAlignment="1">
      <alignment vertical="center"/>
      <protection/>
    </xf>
    <xf numFmtId="4" fontId="0" fillId="33" borderId="0" xfId="50" applyNumberFormat="1" applyFont="1" applyFill="1" applyBorder="1" applyAlignment="1">
      <alignment vertical="center"/>
      <protection/>
    </xf>
    <xf numFmtId="0" fontId="29" fillId="33" borderId="0" xfId="50" applyFont="1" applyFill="1" applyBorder="1" applyAlignment="1">
      <alignment/>
      <protection/>
    </xf>
    <xf numFmtId="0" fontId="9" fillId="33" borderId="17" xfId="0" applyFont="1" applyFill="1" applyBorder="1" applyAlignment="1">
      <alignment/>
    </xf>
    <xf numFmtId="49" fontId="5" fillId="33" borderId="0" xfId="0" applyNumberFormat="1" applyFont="1" applyFill="1" applyAlignment="1">
      <alignment wrapText="1"/>
    </xf>
    <xf numFmtId="165" fontId="3" fillId="33" borderId="13" xfId="66" applyNumberFormat="1" applyFont="1" applyFill="1" applyBorder="1" applyAlignment="1">
      <alignment wrapText="1"/>
    </xf>
    <xf numFmtId="165" fontId="3" fillId="33" borderId="17" xfId="66" applyNumberFormat="1" applyFont="1" applyFill="1" applyBorder="1" applyAlignment="1">
      <alignment wrapText="1"/>
    </xf>
    <xf numFmtId="165" fontId="3" fillId="33" borderId="10" xfId="66" applyNumberFormat="1" applyFont="1" applyFill="1" applyBorder="1" applyAlignment="1">
      <alignment wrapText="1"/>
    </xf>
    <xf numFmtId="49" fontId="9" fillId="33" borderId="23" xfId="0" applyNumberFormat="1" applyFont="1" applyFill="1" applyBorder="1" applyAlignment="1">
      <alignment/>
    </xf>
    <xf numFmtId="165" fontId="2" fillId="33" borderId="20" xfId="66" applyNumberFormat="1" applyFont="1" applyFill="1" applyBorder="1" applyAlignment="1">
      <alignment/>
    </xf>
    <xf numFmtId="165" fontId="2" fillId="33" borderId="22" xfId="66" applyNumberFormat="1" applyFont="1" applyFill="1" applyBorder="1" applyAlignment="1">
      <alignment/>
    </xf>
    <xf numFmtId="43" fontId="3" fillId="33" borderId="13" xfId="66" applyFont="1" applyFill="1" applyBorder="1" applyAlignment="1">
      <alignment horizontal="right" wrapText="1"/>
    </xf>
    <xf numFmtId="43" fontId="3" fillId="33" borderId="17" xfId="66" applyFont="1" applyFill="1" applyBorder="1" applyAlignment="1">
      <alignment horizontal="right" wrapText="1"/>
    </xf>
    <xf numFmtId="43" fontId="3" fillId="33" borderId="10" xfId="66" applyFont="1" applyFill="1" applyBorder="1" applyAlignment="1">
      <alignment horizontal="right"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19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indent="2"/>
    </xf>
    <xf numFmtId="43" fontId="5" fillId="33" borderId="0" xfId="66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9" fillId="33" borderId="21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9" fillId="33" borderId="11" xfId="50" applyFont="1" applyFill="1" applyBorder="1" applyAlignment="1">
      <alignment horizontal="center" vertical="center" wrapText="1"/>
      <protection/>
    </xf>
    <xf numFmtId="0" fontId="9" fillId="33" borderId="20" xfId="50" applyFont="1" applyFill="1" applyBorder="1" applyAlignment="1">
      <alignment horizontal="center" vertical="center" wrapText="1"/>
      <protection/>
    </xf>
    <xf numFmtId="0" fontId="5" fillId="33" borderId="10" xfId="50" applyNumberFormat="1" applyFont="1" applyFill="1" applyBorder="1" applyAlignment="1">
      <alignment/>
      <protection/>
    </xf>
    <xf numFmtId="0" fontId="5" fillId="33" borderId="13" xfId="50" applyNumberFormat="1" applyFont="1" applyFill="1" applyBorder="1" applyAlignment="1">
      <alignment/>
      <protection/>
    </xf>
    <xf numFmtId="0" fontId="5" fillId="33" borderId="10" xfId="50" applyNumberFormat="1" applyFont="1" applyFill="1" applyBorder="1" applyAlignment="1">
      <alignment wrapText="1"/>
      <protection/>
    </xf>
    <xf numFmtId="0" fontId="9" fillId="33" borderId="22" xfId="50" applyNumberFormat="1" applyFont="1" applyFill="1" applyBorder="1" applyAlignment="1">
      <alignment/>
      <protection/>
    </xf>
    <xf numFmtId="165" fontId="2" fillId="33" borderId="23" xfId="66" applyNumberFormat="1" applyFont="1" applyFill="1" applyBorder="1" applyAlignment="1">
      <alignment/>
    </xf>
    <xf numFmtId="0" fontId="9" fillId="33" borderId="23" xfId="0" applyNumberFormat="1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5" fillId="33" borderId="21" xfId="0" applyNumberFormat="1" applyFont="1" applyFill="1" applyBorder="1" applyAlignment="1">
      <alignment wrapText="1"/>
    </xf>
    <xf numFmtId="43" fontId="3" fillId="33" borderId="0" xfId="66" applyFont="1" applyFill="1" applyBorder="1" applyAlignment="1">
      <alignment wrapText="1"/>
    </xf>
    <xf numFmtId="0" fontId="5" fillId="33" borderId="11" xfId="50" applyNumberFormat="1" applyFont="1" applyFill="1" applyBorder="1" applyAlignment="1">
      <alignment/>
      <protection/>
    </xf>
    <xf numFmtId="0" fontId="12" fillId="33" borderId="22" xfId="50" applyNumberFormat="1" applyFont="1" applyFill="1" applyBorder="1" applyAlignment="1">
      <alignment horizontal="center" vertical="center" wrapText="1"/>
      <protection/>
    </xf>
    <xf numFmtId="37" fontId="5" fillId="33" borderId="0" xfId="50" applyNumberFormat="1" applyFont="1" applyFill="1" applyBorder="1" applyAlignment="1">
      <alignment vertical="center"/>
      <protection/>
    </xf>
    <xf numFmtId="3" fontId="5" fillId="33" borderId="0" xfId="50" applyNumberFormat="1" applyFont="1" applyFill="1" applyBorder="1" applyAlignment="1">
      <alignment vertical="center"/>
      <protection/>
    </xf>
    <xf numFmtId="0" fontId="5" fillId="33" borderId="20" xfId="50" applyNumberFormat="1" applyFont="1" applyFill="1" applyBorder="1" applyAlignment="1">
      <alignment horizontal="left" wrapText="1"/>
      <protection/>
    </xf>
    <xf numFmtId="0" fontId="9" fillId="33" borderId="0" xfId="50" applyFont="1" applyFill="1" applyBorder="1" applyAlignment="1">
      <alignment vertical="center"/>
      <protection/>
    </xf>
    <xf numFmtId="0" fontId="5" fillId="33" borderId="0" xfId="50" applyNumberFormat="1" applyFont="1" applyFill="1" applyBorder="1" applyAlignment="1">
      <alignment horizontal="left" wrapText="1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2" fillId="33" borderId="0" xfId="50" applyFont="1" applyFill="1" applyBorder="1" applyAlignment="1">
      <alignment vertical="center"/>
      <protection/>
    </xf>
    <xf numFmtId="0" fontId="5" fillId="33" borderId="18" xfId="50" applyFont="1" applyFill="1" applyBorder="1" applyAlignment="1">
      <alignment vertical="center"/>
      <protection/>
    </xf>
    <xf numFmtId="0" fontId="12" fillId="33" borderId="13" xfId="50" applyFont="1" applyFill="1" applyBorder="1" applyAlignment="1">
      <alignment horizontal="center" vertical="center"/>
      <protection/>
    </xf>
    <xf numFmtId="0" fontId="9" fillId="33" borderId="12" xfId="50" applyFont="1" applyFill="1" applyBorder="1" applyAlignment="1">
      <alignment horizontal="center" wrapText="1"/>
      <protection/>
    </xf>
    <xf numFmtId="0" fontId="9" fillId="33" borderId="18" xfId="50" applyNumberFormat="1" applyFont="1" applyFill="1" applyBorder="1" applyAlignment="1">
      <alignment horizontal="center" wrapText="1"/>
      <protection/>
    </xf>
    <xf numFmtId="49" fontId="5" fillId="33" borderId="0" xfId="50" applyNumberFormat="1" applyFont="1" applyFill="1" applyBorder="1" applyAlignment="1">
      <alignment wrapText="1"/>
      <protection/>
    </xf>
    <xf numFmtId="0" fontId="5" fillId="33" borderId="15" xfId="50" applyFont="1" applyFill="1" applyBorder="1" applyAlignment="1">
      <alignment vertical="center"/>
      <protection/>
    </xf>
    <xf numFmtId="49" fontId="9" fillId="33" borderId="15" xfId="50" applyNumberFormat="1" applyFont="1" applyFill="1" applyBorder="1" applyAlignment="1">
      <alignment horizontal="center" vertical="center" wrapText="1"/>
      <protection/>
    </xf>
    <xf numFmtId="49" fontId="5" fillId="33" borderId="0" xfId="50" applyNumberFormat="1" applyFont="1" applyFill="1" applyBorder="1" applyAlignment="1">
      <alignment vertical="center" wrapText="1"/>
      <protection/>
    </xf>
    <xf numFmtId="0" fontId="5" fillId="33" borderId="12" xfId="50" applyFont="1" applyFill="1" applyBorder="1" applyAlignment="1">
      <alignment/>
      <protection/>
    </xf>
    <xf numFmtId="0" fontId="5" fillId="33" borderId="0" xfId="50" applyNumberFormat="1" applyFont="1" applyFill="1" applyBorder="1" applyAlignment="1">
      <alignment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vertical="center"/>
      <protection/>
    </xf>
    <xf numFmtId="0" fontId="5" fillId="33" borderId="11" xfId="50" applyFont="1" applyFill="1" applyBorder="1" applyAlignment="1">
      <alignment/>
      <protection/>
    </xf>
    <xf numFmtId="0" fontId="5" fillId="33" borderId="24" xfId="50" applyNumberFormat="1" applyFont="1" applyFill="1" applyBorder="1" applyAlignment="1">
      <alignment/>
      <protection/>
    </xf>
    <xf numFmtId="0" fontId="9" fillId="33" borderId="20" xfId="50" applyFont="1" applyFill="1" applyBorder="1" applyAlignment="1">
      <alignment vertical="center"/>
      <protection/>
    </xf>
    <xf numFmtId="43" fontId="2" fillId="33" borderId="20" xfId="66" applyFont="1" applyFill="1" applyBorder="1" applyAlignment="1">
      <alignment horizontal="right"/>
    </xf>
    <xf numFmtId="0" fontId="9" fillId="33" borderId="12" xfId="50" applyFont="1" applyFill="1" applyBorder="1" applyAlignment="1">
      <alignment vertical="center"/>
      <protection/>
    </xf>
    <xf numFmtId="0" fontId="9" fillId="33" borderId="10" xfId="50" applyFont="1" applyFill="1" applyBorder="1" applyAlignment="1">
      <alignment vertical="center"/>
      <protection/>
    </xf>
    <xf numFmtId="0" fontId="5" fillId="33" borderId="12" xfId="50" applyFont="1" applyFill="1" applyBorder="1" applyAlignment="1">
      <alignment vertical="center"/>
      <protection/>
    </xf>
    <xf numFmtId="0" fontId="12" fillId="33" borderId="10" xfId="50" applyFont="1" applyFill="1" applyBorder="1" applyAlignment="1">
      <alignment horizontal="center" vertical="center"/>
      <protection/>
    </xf>
    <xf numFmtId="0" fontId="5" fillId="33" borderId="18" xfId="50" applyFont="1" applyFill="1" applyBorder="1" applyAlignment="1">
      <alignment/>
      <protection/>
    </xf>
    <xf numFmtId="0" fontId="5" fillId="33" borderId="0" xfId="50" applyFont="1" applyFill="1" applyBorder="1" applyAlignment="1">
      <alignment horizontal="right" vertical="center"/>
      <protection/>
    </xf>
    <xf numFmtId="0" fontId="5" fillId="33" borderId="13" xfId="50" applyFont="1" applyFill="1" applyBorder="1" applyAlignment="1">
      <alignment/>
      <protection/>
    </xf>
    <xf numFmtId="0" fontId="9" fillId="33" borderId="20" xfId="50" applyFont="1" applyFill="1" applyBorder="1" applyAlignment="1">
      <alignment vertical="center" wrapText="1"/>
      <protection/>
    </xf>
    <xf numFmtId="0" fontId="9" fillId="33" borderId="0" xfId="50" applyNumberFormat="1" applyFont="1" applyFill="1" applyBorder="1" applyAlignment="1">
      <alignment/>
      <protection/>
    </xf>
    <xf numFmtId="0" fontId="5" fillId="33" borderId="10" xfId="50" applyFont="1" applyFill="1" applyBorder="1" applyAlignment="1">
      <alignment horizontal="center" vertical="center"/>
      <protection/>
    </xf>
    <xf numFmtId="43" fontId="3" fillId="33" borderId="0" xfId="66" applyFont="1" applyFill="1" applyBorder="1" applyAlignment="1">
      <alignment horizontal="center" vertical="center"/>
    </xf>
    <xf numFmtId="0" fontId="9" fillId="33" borderId="22" xfId="50" applyNumberFormat="1" applyFont="1" applyFill="1" applyBorder="1" applyAlignment="1">
      <alignment wrapText="1"/>
      <protection/>
    </xf>
    <xf numFmtId="0" fontId="3" fillId="33" borderId="24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vertical="center"/>
      <protection/>
    </xf>
    <xf numFmtId="37" fontId="5" fillId="33" borderId="0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0" xfId="50" applyFont="1" applyFill="1" applyBorder="1" applyAlignment="1">
      <alignment wrapText="1"/>
      <protection/>
    </xf>
    <xf numFmtId="0" fontId="3" fillId="33" borderId="24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/>
    </xf>
    <xf numFmtId="37" fontId="9" fillId="33" borderId="22" xfId="0" applyNumberFormat="1" applyFont="1" applyFill="1" applyBorder="1" applyAlignment="1">
      <alignment/>
    </xf>
    <xf numFmtId="37" fontId="9" fillId="33" borderId="20" xfId="0" applyNumberFormat="1" applyFont="1" applyFill="1" applyBorder="1" applyAlignment="1">
      <alignment horizontal="center"/>
    </xf>
    <xf numFmtId="37" fontId="9" fillId="33" borderId="2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17" xfId="50" applyFont="1" applyFill="1" applyBorder="1" applyAlignment="1">
      <alignment horizontal="center" vertical="center"/>
      <protection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37" fontId="5" fillId="33" borderId="22" xfId="0" applyNumberFormat="1" applyFont="1" applyFill="1" applyBorder="1" applyAlignment="1">
      <alignment vertical="center"/>
    </xf>
    <xf numFmtId="37" fontId="5" fillId="34" borderId="22" xfId="0" applyNumberFormat="1" applyFont="1" applyFill="1" applyBorder="1" applyAlignment="1">
      <alignment horizontal="center" vertical="center"/>
    </xf>
    <xf numFmtId="37" fontId="5" fillId="34" borderId="20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 wrapText="1"/>
    </xf>
    <xf numFmtId="3" fontId="12" fillId="33" borderId="0" xfId="0" applyNumberFormat="1" applyFont="1" applyFill="1" applyBorder="1" applyAlignment="1">
      <alignment vertical="center"/>
    </xf>
    <xf numFmtId="0" fontId="5" fillId="33" borderId="22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22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65" fontId="3" fillId="33" borderId="10" xfId="69" applyNumberFormat="1" applyFont="1" applyFill="1" applyBorder="1" applyAlignment="1">
      <alignment/>
    </xf>
    <xf numFmtId="165" fontId="3" fillId="33" borderId="18" xfId="69" applyNumberFormat="1" applyFont="1" applyFill="1" applyBorder="1" applyAlignment="1">
      <alignment/>
    </xf>
    <xf numFmtId="165" fontId="3" fillId="33" borderId="13" xfId="69" applyNumberFormat="1" applyFont="1" applyFill="1" applyBorder="1" applyAlignment="1">
      <alignment/>
    </xf>
    <xf numFmtId="0" fontId="9" fillId="33" borderId="23" xfId="0" applyNumberFormat="1" applyFont="1" applyFill="1" applyBorder="1" applyAlignment="1">
      <alignment/>
    </xf>
    <xf numFmtId="165" fontId="3" fillId="33" borderId="20" xfId="69" applyNumberFormat="1" applyFont="1" applyFill="1" applyBorder="1" applyAlignment="1">
      <alignment/>
    </xf>
    <xf numFmtId="49" fontId="5" fillId="33" borderId="0" xfId="0" applyNumberFormat="1" applyFont="1" applyFill="1" applyAlignment="1">
      <alignment vertical="center"/>
    </xf>
    <xf numFmtId="165" fontId="3" fillId="33" borderId="18" xfId="69" applyNumberFormat="1" applyFont="1" applyFill="1" applyBorder="1" applyAlignment="1">
      <alignment horizontal="right"/>
    </xf>
    <xf numFmtId="49" fontId="9" fillId="33" borderId="23" xfId="0" applyNumberFormat="1" applyFont="1" applyFill="1" applyBorder="1" applyAlignment="1">
      <alignment vertical="center"/>
    </xf>
    <xf numFmtId="165" fontId="3" fillId="33" borderId="22" xfId="69" applyNumberFormat="1" applyFont="1" applyFill="1" applyBorder="1" applyAlignment="1">
      <alignment horizontal="right"/>
    </xf>
    <xf numFmtId="165" fontId="3" fillId="33" borderId="20" xfId="69" applyNumberFormat="1" applyFont="1" applyFill="1" applyBorder="1" applyAlignment="1">
      <alignment horizontal="right"/>
    </xf>
    <xf numFmtId="49" fontId="9" fillId="33" borderId="21" xfId="0" applyNumberFormat="1" applyFont="1" applyFill="1" applyBorder="1" applyAlignment="1">
      <alignment horizontal="justify" vertical="center"/>
    </xf>
    <xf numFmtId="165" fontId="3" fillId="34" borderId="20" xfId="69" applyNumberFormat="1" applyFont="1" applyFill="1" applyBorder="1" applyAlignment="1">
      <alignment horizontal="right"/>
    </xf>
    <xf numFmtId="0" fontId="78" fillId="33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justify" vertical="top" wrapText="1"/>
    </xf>
    <xf numFmtId="0" fontId="12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wrapText="1"/>
    </xf>
    <xf numFmtId="165" fontId="3" fillId="33" borderId="12" xfId="69" applyNumberFormat="1" applyFont="1" applyFill="1" applyBorder="1" applyAlignment="1">
      <alignment/>
    </xf>
    <xf numFmtId="0" fontId="5" fillId="33" borderId="25" xfId="0" applyFont="1" applyFill="1" applyBorder="1" applyAlignment="1">
      <alignment wrapText="1"/>
    </xf>
    <xf numFmtId="165" fontId="3" fillId="33" borderId="11" xfId="69" applyNumberFormat="1" applyFont="1" applyFill="1" applyBorder="1" applyAlignment="1">
      <alignment/>
    </xf>
    <xf numFmtId="43" fontId="3" fillId="33" borderId="0" xfId="69" applyFont="1" applyFill="1" applyBorder="1" applyAlignment="1">
      <alignment horizontal="right" wrapText="1"/>
    </xf>
    <xf numFmtId="43" fontId="3" fillId="33" borderId="10" xfId="69" applyFont="1" applyFill="1" applyBorder="1" applyAlignment="1">
      <alignment/>
    </xf>
    <xf numFmtId="43" fontId="3" fillId="33" borderId="18" xfId="69" applyFont="1" applyFill="1" applyBorder="1" applyAlignment="1">
      <alignment/>
    </xf>
    <xf numFmtId="43" fontId="3" fillId="33" borderId="13" xfId="69" applyFont="1" applyFill="1" applyBorder="1" applyAlignment="1">
      <alignment/>
    </xf>
    <xf numFmtId="43" fontId="3" fillId="33" borderId="20" xfId="69" applyFont="1" applyFill="1" applyBorder="1" applyAlignment="1">
      <alignment/>
    </xf>
    <xf numFmtId="43" fontId="3" fillId="33" borderId="15" xfId="69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3" fontId="3" fillId="33" borderId="10" xfId="69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37" fontId="5" fillId="33" borderId="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5" fillId="33" borderId="10" xfId="69" applyNumberFormat="1" applyFont="1" applyFill="1" applyBorder="1" applyAlignment="1">
      <alignment horizontal="right"/>
    </xf>
    <xf numFmtId="165" fontId="5" fillId="33" borderId="13" xfId="69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left"/>
    </xf>
    <xf numFmtId="49" fontId="9" fillId="33" borderId="22" xfId="0" applyNumberFormat="1" applyFont="1" applyFill="1" applyBorder="1" applyAlignment="1">
      <alignment wrapText="1"/>
    </xf>
    <xf numFmtId="165" fontId="2" fillId="33" borderId="22" xfId="66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33" borderId="18" xfId="50" applyNumberFormat="1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/>
    </xf>
    <xf numFmtId="0" fontId="5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24" xfId="0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9" fillId="33" borderId="0" xfId="0" applyFont="1" applyFill="1" applyBorder="1" applyAlignment="1">
      <alignment horizontal="left" vertical="center" wrapText="1"/>
    </xf>
    <xf numFmtId="0" fontId="9" fillId="33" borderId="18" xfId="50" applyNumberFormat="1" applyFont="1" applyFill="1" applyBorder="1" applyAlignment="1">
      <alignment horizontal="center" wrapText="1"/>
      <protection/>
    </xf>
    <xf numFmtId="0" fontId="9" fillId="33" borderId="13" xfId="50" applyNumberFormat="1" applyFont="1" applyFill="1" applyBorder="1" applyAlignment="1">
      <alignment horizontal="center" wrapText="1"/>
      <protection/>
    </xf>
    <xf numFmtId="0" fontId="9" fillId="33" borderId="15" xfId="50" applyNumberFormat="1" applyFont="1" applyFill="1" applyBorder="1" applyAlignment="1">
      <alignment horizontal="center" wrapText="1"/>
      <protection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justify" vertical="justify"/>
    </xf>
    <xf numFmtId="37" fontId="9" fillId="33" borderId="12" xfId="0" applyNumberFormat="1" applyFont="1" applyFill="1" applyBorder="1" applyAlignment="1">
      <alignment horizontal="center" vertical="center"/>
    </xf>
    <xf numFmtId="37" fontId="9" fillId="33" borderId="24" xfId="0" applyNumberFormat="1" applyFont="1" applyFill="1" applyBorder="1" applyAlignment="1">
      <alignment horizontal="center" vertical="center"/>
    </xf>
    <xf numFmtId="37" fontId="9" fillId="33" borderId="19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justify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37" fontId="9" fillId="33" borderId="1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7" fontId="12" fillId="33" borderId="19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9" fillId="33" borderId="13" xfId="50" applyNumberFormat="1" applyFont="1" applyFill="1" applyBorder="1" applyAlignment="1">
      <alignment horizontal="center" vertical="center" wrapText="1"/>
      <protection/>
    </xf>
    <xf numFmtId="0" fontId="9" fillId="33" borderId="15" xfId="50" applyNumberFormat="1" applyFont="1" applyFill="1" applyBorder="1" applyAlignment="1">
      <alignment horizontal="center" vertical="center" wrapText="1"/>
      <protection/>
    </xf>
    <xf numFmtId="0" fontId="9" fillId="33" borderId="22" xfId="50" applyFont="1" applyFill="1" applyBorder="1" applyAlignment="1">
      <alignment horizontal="center"/>
      <protection/>
    </xf>
    <xf numFmtId="0" fontId="9" fillId="33" borderId="23" xfId="50" applyFont="1" applyFill="1" applyBorder="1" applyAlignment="1">
      <alignment horizontal="center"/>
      <protection/>
    </xf>
    <xf numFmtId="0" fontId="9" fillId="33" borderId="21" xfId="50" applyFont="1" applyFill="1" applyBorder="1" applyAlignment="1">
      <alignment horizont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3" fontId="12" fillId="33" borderId="18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9" fillId="33" borderId="15" xfId="50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2" fillId="33" borderId="12" xfId="50" applyNumberFormat="1" applyFont="1" applyFill="1" applyBorder="1" applyAlignment="1">
      <alignment horizontal="center" vertical="center"/>
      <protection/>
    </xf>
    <xf numFmtId="0" fontId="12" fillId="33" borderId="11" xfId="50" applyNumberFormat="1" applyFont="1" applyFill="1" applyBorder="1" applyAlignment="1">
      <alignment horizontal="center" vertical="center"/>
      <protection/>
    </xf>
    <xf numFmtId="0" fontId="9" fillId="33" borderId="18" xfId="50" applyFont="1" applyFill="1" applyBorder="1" applyAlignment="1">
      <alignment horizontal="center" vertical="center" wrapText="1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9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9" fillId="33" borderId="17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9" fillId="33" borderId="14" xfId="50" applyFont="1" applyFill="1" applyBorder="1" applyAlignment="1">
      <alignment horizontal="center" vertical="center" wrapText="1"/>
      <protection/>
    </xf>
    <xf numFmtId="0" fontId="9" fillId="33" borderId="22" xfId="50" applyFont="1" applyFill="1" applyBorder="1" applyAlignment="1">
      <alignment horizontal="center" vertical="center" wrapText="1"/>
      <protection/>
    </xf>
    <xf numFmtId="0" fontId="9" fillId="33" borderId="21" xfId="50" applyFont="1" applyFill="1" applyBorder="1" applyAlignment="1">
      <alignment horizontal="center" vertical="center" wrapText="1"/>
      <protection/>
    </xf>
    <xf numFmtId="0" fontId="22" fillId="33" borderId="12" xfId="50" applyFont="1" applyFill="1" applyBorder="1" applyAlignment="1">
      <alignment horizontal="center" vertical="center"/>
      <protection/>
    </xf>
    <xf numFmtId="0" fontId="22" fillId="33" borderId="24" xfId="50" applyFont="1" applyFill="1" applyBorder="1" applyAlignment="1">
      <alignment horizontal="center" vertical="center"/>
      <protection/>
    </xf>
    <xf numFmtId="0" fontId="22" fillId="33" borderId="19" xfId="50" applyFont="1" applyFill="1" applyBorder="1" applyAlignment="1">
      <alignment horizontal="center" vertical="center"/>
      <protection/>
    </xf>
    <xf numFmtId="0" fontId="22" fillId="33" borderId="11" xfId="50" applyFont="1" applyFill="1" applyBorder="1" applyAlignment="1">
      <alignment horizontal="center" vertical="center"/>
      <protection/>
    </xf>
    <xf numFmtId="0" fontId="22" fillId="33" borderId="25" xfId="50" applyFont="1" applyFill="1" applyBorder="1" applyAlignment="1">
      <alignment horizontal="center" vertical="center"/>
      <protection/>
    </xf>
    <xf numFmtId="0" fontId="22" fillId="33" borderId="14" xfId="50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12" fillId="33" borderId="18" xfId="50" applyNumberFormat="1" applyFont="1" applyFill="1" applyBorder="1" applyAlignment="1">
      <alignment horizontal="center" vertical="center"/>
      <protection/>
    </xf>
    <xf numFmtId="3" fontId="12" fillId="33" borderId="15" xfId="50" applyNumberFormat="1" applyFont="1" applyFill="1" applyBorder="1" applyAlignment="1">
      <alignment horizontal="center" vertical="center"/>
      <protection/>
    </xf>
    <xf numFmtId="3" fontId="9" fillId="33" borderId="18" xfId="50" applyNumberFormat="1" applyFont="1" applyFill="1" applyBorder="1" applyAlignment="1">
      <alignment horizontal="center" vertical="center" wrapText="1"/>
      <protection/>
    </xf>
    <xf numFmtId="3" fontId="9" fillId="33" borderId="15" xfId="50" applyNumberFormat="1" applyFont="1" applyFill="1" applyBorder="1" applyAlignment="1">
      <alignment horizontal="center" vertical="center" wrapText="1"/>
      <protection/>
    </xf>
    <xf numFmtId="37" fontId="9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/>
    </xf>
    <xf numFmtId="4" fontId="9" fillId="33" borderId="22" xfId="50" applyNumberFormat="1" applyFont="1" applyFill="1" applyBorder="1" applyAlignment="1">
      <alignment horizontal="center" vertical="center"/>
      <protection/>
    </xf>
    <xf numFmtId="4" fontId="18" fillId="33" borderId="21" xfId="0" applyNumberFormat="1" applyFont="1" applyFill="1" applyBorder="1" applyAlignment="1">
      <alignment horizontal="center" vertical="center"/>
    </xf>
    <xf numFmtId="4" fontId="5" fillId="33" borderId="0" xfId="50" applyNumberFormat="1" applyFont="1" applyFill="1" applyBorder="1" applyAlignment="1">
      <alignment horizontal="left"/>
      <protection/>
    </xf>
    <xf numFmtId="4" fontId="14" fillId="33" borderId="0" xfId="50" applyNumberFormat="1" applyFont="1" applyFill="1" applyAlignment="1">
      <alignment horizontal="left" wrapText="1"/>
      <protection/>
    </xf>
    <xf numFmtId="0" fontId="0" fillId="33" borderId="0" xfId="0" applyFill="1" applyAlignment="1">
      <alignment horizontal="left" wrapText="1"/>
    </xf>
    <xf numFmtId="4" fontId="5" fillId="33" borderId="0" xfId="50" applyNumberFormat="1" applyFont="1" applyFill="1" applyBorder="1" applyAlignment="1">
      <alignment horizontal="left" vertical="center"/>
      <protection/>
    </xf>
    <xf numFmtId="0" fontId="18" fillId="33" borderId="21" xfId="0" applyFont="1" applyFill="1" applyBorder="1" applyAlignment="1">
      <alignment horizontal="center"/>
    </xf>
    <xf numFmtId="4" fontId="9" fillId="33" borderId="22" xfId="50" applyNumberFormat="1" applyFont="1" applyFill="1" applyBorder="1" applyAlignment="1">
      <alignment horizontal="center"/>
      <protection/>
    </xf>
    <xf numFmtId="4" fontId="9" fillId="33" borderId="21" xfId="50" applyNumberFormat="1" applyFont="1" applyFill="1" applyBorder="1" applyAlignment="1">
      <alignment horizontal="center"/>
      <protection/>
    </xf>
    <xf numFmtId="4" fontId="9" fillId="33" borderId="18" xfId="50" applyNumberFormat="1" applyFont="1" applyFill="1" applyBorder="1" applyAlignment="1">
      <alignment horizontal="center" vertical="center"/>
      <protection/>
    </xf>
    <xf numFmtId="4" fontId="9" fillId="33" borderId="15" xfId="50" applyNumberFormat="1" applyFont="1" applyFill="1" applyBorder="1" applyAlignment="1">
      <alignment horizontal="center" vertical="center"/>
      <protection/>
    </xf>
    <xf numFmtId="4" fontId="18" fillId="33" borderId="13" xfId="0" applyNumberFormat="1" applyFont="1" applyFill="1" applyBorder="1" applyAlignment="1">
      <alignment vertical="center"/>
    </xf>
    <xf numFmtId="4" fontId="18" fillId="33" borderId="15" xfId="0" applyNumberFormat="1" applyFont="1" applyFill="1" applyBorder="1" applyAlignment="1">
      <alignment vertical="center"/>
    </xf>
    <xf numFmtId="4" fontId="12" fillId="33" borderId="22" xfId="50" applyNumberFormat="1" applyFont="1" applyFill="1" applyBorder="1" applyAlignment="1">
      <alignment horizontal="center" vertical="center"/>
      <protection/>
    </xf>
    <xf numFmtId="4" fontId="0" fillId="33" borderId="23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4" fontId="18" fillId="33" borderId="21" xfId="0" applyNumberFormat="1" applyFont="1" applyFill="1" applyBorder="1" applyAlignment="1">
      <alignment horizontal="center"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Alignment="1">
      <alignment horizontal="left"/>
      <protection/>
    </xf>
    <xf numFmtId="0" fontId="12" fillId="33" borderId="22" xfId="50" applyFont="1" applyFill="1" applyBorder="1" applyAlignment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33" borderId="0" xfId="50" applyFont="1" applyFill="1" applyAlignment="1">
      <alignment vertical="top" wrapText="1"/>
      <protection/>
    </xf>
    <xf numFmtId="0" fontId="14" fillId="33" borderId="0" xfId="50" applyFont="1" applyFill="1" applyAlignment="1">
      <alignment vertical="top" wrapText="1"/>
      <protection/>
    </xf>
    <xf numFmtId="0" fontId="3" fillId="33" borderId="0" xfId="50" applyFont="1" applyFill="1" applyAlignment="1">
      <alignment horizontal="left" vertical="center" wrapText="1"/>
      <protection/>
    </xf>
    <xf numFmtId="0" fontId="5" fillId="33" borderId="0" xfId="50" applyFont="1" applyFill="1" applyAlignment="1">
      <alignment horizontal="left" vertical="center" wrapText="1"/>
      <protection/>
    </xf>
    <xf numFmtId="0" fontId="3" fillId="33" borderId="0" xfId="50" applyFont="1" applyFill="1" applyAlignment="1">
      <alignment horizontal="left" vertical="center"/>
      <protection/>
    </xf>
    <xf numFmtId="0" fontId="5" fillId="33" borderId="0" xfId="50" applyFont="1" applyFill="1" applyAlignment="1">
      <alignment horizontal="left" vertical="center"/>
      <protection/>
    </xf>
    <xf numFmtId="0" fontId="3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 vertical="center"/>
      <protection/>
    </xf>
    <xf numFmtId="0" fontId="3" fillId="33" borderId="0" xfId="50" applyFont="1" applyFill="1" applyAlignment="1">
      <alignment horizontal="right" vertical="center"/>
      <protection/>
    </xf>
    <xf numFmtId="0" fontId="5" fillId="33" borderId="0" xfId="50" applyFont="1" applyFill="1" applyAlignment="1">
      <alignment horizontal="right" vertical="center"/>
      <protection/>
    </xf>
    <xf numFmtId="0" fontId="5" fillId="33" borderId="0" xfId="50" applyFont="1" applyFill="1" applyAlignment="1">
      <alignment horizontal="left" vertical="top" wrapText="1"/>
      <protection/>
    </xf>
    <xf numFmtId="0" fontId="5" fillId="33" borderId="0" xfId="50" applyFont="1" applyFill="1" applyAlignment="1">
      <alignment wrapText="1"/>
      <protection/>
    </xf>
    <xf numFmtId="0" fontId="5" fillId="33" borderId="0" xfId="50" applyFont="1" applyFill="1" applyAlignment="1">
      <alignment horizontal="right" vertical="top" wrapText="1"/>
      <protection/>
    </xf>
    <xf numFmtId="0" fontId="12" fillId="33" borderId="22" xfId="50" applyFont="1" applyFill="1" applyBorder="1" applyAlignment="1">
      <alignment horizontal="center" vertical="center" wrapText="1"/>
      <protection/>
    </xf>
    <xf numFmtId="0" fontId="3" fillId="33" borderId="24" xfId="50" applyFont="1" applyFill="1" applyBorder="1" applyAlignment="1">
      <alignment horizontal="left" vertical="top" wrapText="1"/>
      <protection/>
    </xf>
    <xf numFmtId="0" fontId="5" fillId="33" borderId="24" xfId="50" applyFont="1" applyFill="1" applyBorder="1" applyAlignment="1">
      <alignment horizontal="left" vertical="top" wrapText="1"/>
      <protection/>
    </xf>
    <xf numFmtId="0" fontId="5" fillId="33" borderId="0" xfId="50" applyFont="1" applyFill="1" applyBorder="1" applyAlignment="1">
      <alignment horizontal="left" vertical="top" wrapText="1"/>
      <protection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3" fillId="33" borderId="0" xfId="50" applyFont="1" applyFill="1" applyBorder="1" applyAlignment="1">
      <alignment horizontal="left"/>
      <protection/>
    </xf>
    <xf numFmtId="37" fontId="2" fillId="33" borderId="18" xfId="50" applyNumberFormat="1" applyFont="1" applyFill="1" applyBorder="1" applyAlignment="1">
      <alignment horizontal="center" wrapText="1"/>
      <protection/>
    </xf>
    <xf numFmtId="0" fontId="0" fillId="33" borderId="13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7" fillId="33" borderId="19" xfId="50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/>
      <protection/>
    </xf>
    <xf numFmtId="49" fontId="7" fillId="33" borderId="18" xfId="50" applyNumberFormat="1" applyFont="1" applyFill="1" applyBorder="1" applyAlignment="1">
      <alignment horizontal="center" vertical="center"/>
      <protection/>
    </xf>
    <xf numFmtId="0" fontId="8" fillId="33" borderId="15" xfId="50" applyFont="1" applyFill="1" applyBorder="1" applyAlignment="1">
      <alignment vertical="center"/>
      <protection/>
    </xf>
    <xf numFmtId="0" fontId="3" fillId="33" borderId="24" xfId="50" applyFont="1" applyFill="1" applyBorder="1" applyAlignment="1">
      <alignment horizontal="left" vertical="center" wrapText="1"/>
      <protection/>
    </xf>
    <xf numFmtId="0" fontId="5" fillId="33" borderId="24" xfId="50" applyFont="1" applyFill="1" applyBorder="1" applyAlignment="1">
      <alignment horizontal="left" vertical="center" wrapText="1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3" fillId="33" borderId="0" xfId="50" applyFont="1" applyFill="1" applyBorder="1" applyAlignment="1">
      <alignment horizontal="justify" wrapText="1"/>
      <protection/>
    </xf>
    <xf numFmtId="0" fontId="3" fillId="33" borderId="0" xfId="50" applyFont="1" applyFill="1" applyBorder="1" applyAlignment="1">
      <alignment horizontal="justify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50" applyFont="1" applyFill="1" applyBorder="1" applyAlignment="1">
      <alignment horizontal="center" vertical="center" wrapText="1"/>
      <protection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 3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6</xdr:row>
      <xdr:rowOff>47625</xdr:rowOff>
    </xdr:from>
    <xdr:ext cx="1809750" cy="1257300"/>
    <xdr:sp>
      <xdr:nvSpPr>
        <xdr:cNvPr id="1" name="Retângulo 1"/>
        <xdr:cNvSpPr>
          <a:spLocks/>
        </xdr:cNvSpPr>
      </xdr:nvSpPr>
      <xdr:spPr>
        <a:xfrm>
          <a:off x="5600700" y="1333500"/>
          <a:ext cx="18097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Anual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1571625</xdr:colOff>
      <xdr:row>5</xdr:row>
      <xdr:rowOff>47625</xdr:rowOff>
    </xdr:from>
    <xdr:ext cx="1800225" cy="952500"/>
    <xdr:sp>
      <xdr:nvSpPr>
        <xdr:cNvPr id="1" name="Retângulo 1"/>
        <xdr:cNvSpPr>
          <a:spLocks/>
        </xdr:cNvSpPr>
      </xdr:nvSpPr>
      <xdr:spPr>
        <a:xfrm>
          <a:off x="7038975" y="1133475"/>
          <a:ext cx="18002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Anual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3</xdr:row>
      <xdr:rowOff>123825</xdr:rowOff>
    </xdr:from>
    <xdr:ext cx="1800225" cy="933450"/>
    <xdr:sp>
      <xdr:nvSpPr>
        <xdr:cNvPr id="1" name="Retângulo 1"/>
        <xdr:cNvSpPr>
          <a:spLocks/>
        </xdr:cNvSpPr>
      </xdr:nvSpPr>
      <xdr:spPr>
        <a:xfrm>
          <a:off x="6534150" y="809625"/>
          <a:ext cx="18002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Anual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9"/>
  <sheetViews>
    <sheetView showGridLines="0" tabSelected="1" zoomScaleSheetLayoutView="85" workbookViewId="0" topLeftCell="A1">
      <selection activeCell="A1" sqref="A1"/>
    </sheetView>
  </sheetViews>
  <sheetFormatPr defaultColWidth="9.140625" defaultRowHeight="11.25" customHeight="1"/>
  <cols>
    <col min="1" max="1" width="51.7109375" style="77" customWidth="1"/>
    <col min="2" max="2" width="15.28125" style="77" customWidth="1"/>
    <col min="3" max="11" width="18.421875" style="77" customWidth="1"/>
    <col min="12" max="16384" width="9.140625" style="77" customWidth="1"/>
  </cols>
  <sheetData>
    <row r="1" ht="12.75"/>
    <row r="2" ht="25.5" customHeight="1">
      <c r="A2" s="79" t="s">
        <v>1051</v>
      </c>
    </row>
    <row r="3" ht="15.75" customHeight="1">
      <c r="A3" s="80" t="s">
        <v>1052</v>
      </c>
    </row>
    <row r="4" ht="15.75" customHeight="1">
      <c r="A4" s="80" t="s">
        <v>1053</v>
      </c>
    </row>
    <row r="5" ht="15.75" customHeight="1">
      <c r="A5" s="80" t="s">
        <v>1054</v>
      </c>
    </row>
    <row r="6" ht="15.75">
      <c r="A6" s="42" t="s">
        <v>84</v>
      </c>
    </row>
    <row r="7" ht="12.75">
      <c r="A7" s="43"/>
    </row>
    <row r="8" ht="12.75">
      <c r="A8" s="81" t="s">
        <v>1051</v>
      </c>
    </row>
    <row r="9" ht="12.75">
      <c r="A9" s="45" t="s">
        <v>68</v>
      </c>
    </row>
    <row r="10" spans="1:10" ht="12.75">
      <c r="A10" s="46" t="s">
        <v>69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3" t="s">
        <v>70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4" t="s">
        <v>1055</v>
      </c>
      <c r="B12" s="84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46"/>
      <c r="D12" s="46"/>
      <c r="E12" s="46"/>
      <c r="F12" s="46"/>
      <c r="G12" s="46"/>
      <c r="H12" s="46"/>
      <c r="I12" s="46"/>
      <c r="J12" s="46"/>
    </row>
    <row r="13" spans="1:10" ht="12.75" customHeight="1" hidden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 customHeight="1" hidden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ht="12.75"/>
    <row r="16" spans="1:10" ht="11.25" customHeight="1" hidden="1">
      <c r="A16" s="50"/>
      <c r="B16" s="50"/>
      <c r="C16" s="50"/>
      <c r="D16" s="50"/>
      <c r="E16" s="50"/>
      <c r="F16" s="50"/>
      <c r="G16" s="50"/>
      <c r="H16" s="50"/>
      <c r="I16" s="85"/>
      <c r="J16" s="85"/>
    </row>
    <row r="17" spans="1:11" ht="11.25" customHeight="1">
      <c r="A17" s="49" t="s">
        <v>329</v>
      </c>
      <c r="B17" s="86"/>
      <c r="C17" s="87"/>
      <c r="D17" s="87"/>
      <c r="E17" s="88"/>
      <c r="F17" s="87"/>
      <c r="G17" s="87"/>
      <c r="H17" s="53" t="s">
        <v>360</v>
      </c>
      <c r="I17" s="89"/>
      <c r="J17" s="90"/>
      <c r="K17" s="91"/>
    </row>
    <row r="18" spans="1:11" ht="11.25" customHeight="1">
      <c r="A18" s="92"/>
      <c r="B18" s="794" t="s">
        <v>467</v>
      </c>
      <c r="C18" s="93" t="s">
        <v>197</v>
      </c>
      <c r="D18" s="797" t="s">
        <v>72</v>
      </c>
      <c r="E18" s="798"/>
      <c r="F18" s="798"/>
      <c r="G18" s="798"/>
      <c r="H18" s="94" t="s">
        <v>107</v>
      </c>
      <c r="I18" s="95"/>
      <c r="J18" s="95"/>
      <c r="K18" s="95"/>
    </row>
    <row r="19" spans="1:11" ht="11.25" customHeight="1">
      <c r="A19" s="96" t="s">
        <v>73</v>
      </c>
      <c r="B19" s="795"/>
      <c r="C19" s="97" t="s">
        <v>75</v>
      </c>
      <c r="D19" s="98" t="str">
        <f>CONCATENATE("No ",B12)</f>
        <v>No Bimestre</v>
      </c>
      <c r="E19" s="99" t="s">
        <v>77</v>
      </c>
      <c r="F19" s="98" t="str">
        <f>CONCATENATE("Até o  ",B12)</f>
        <v>Até o  Bimestre</v>
      </c>
      <c r="G19" s="94" t="s">
        <v>77</v>
      </c>
      <c r="H19" s="94"/>
      <c r="I19" s="91"/>
      <c r="J19" s="100"/>
      <c r="K19" s="91"/>
    </row>
    <row r="20" spans="1:11" ht="11.25" customHeight="1">
      <c r="A20" s="60"/>
      <c r="B20" s="796"/>
      <c r="C20" s="37" t="s">
        <v>79</v>
      </c>
      <c r="D20" s="36" t="s">
        <v>80</v>
      </c>
      <c r="E20" s="101" t="s">
        <v>81</v>
      </c>
      <c r="F20" s="36" t="s">
        <v>100</v>
      </c>
      <c r="G20" s="36" t="s">
        <v>101</v>
      </c>
      <c r="H20" s="36" t="s">
        <v>102</v>
      </c>
      <c r="I20" s="91"/>
      <c r="J20" s="100"/>
      <c r="K20" s="91"/>
    </row>
    <row r="21" spans="1:11" ht="12.75">
      <c r="A21" s="102" t="s">
        <v>330</v>
      </c>
      <c r="B21" s="145">
        <f>B22+B62</f>
        <v>1140975830</v>
      </c>
      <c r="C21" s="146">
        <f>C22+C62</f>
        <v>1147825181.29</v>
      </c>
      <c r="D21" s="147">
        <f>D22+D62</f>
        <v>238783690.62999997</v>
      </c>
      <c r="E21" s="148">
        <f aca="true" t="shared" si="0" ref="E21:E52">IF(C21&gt;0,D21/C21,0)*100</f>
        <v>20.803140976715586</v>
      </c>
      <c r="F21" s="148">
        <f>F22+F62</f>
        <v>427691201.02000004</v>
      </c>
      <c r="G21" s="148">
        <f aca="true" t="shared" si="1" ref="G21:G52">IF(C21&gt;0,F21/C21,0)*100</f>
        <v>37.26100524640286</v>
      </c>
      <c r="H21" s="147">
        <f aca="true" t="shared" si="2" ref="H21:H52">C21-F21</f>
        <v>720133980.27</v>
      </c>
      <c r="I21" s="91"/>
      <c r="J21" s="103"/>
      <c r="K21" s="91"/>
    </row>
    <row r="22" spans="1:11" ht="12.75">
      <c r="A22" s="14" t="s">
        <v>7</v>
      </c>
      <c r="B22" s="145">
        <f>B23+B27+B32+B40+B41+B42+B48+B57</f>
        <v>1139185830</v>
      </c>
      <c r="C22" s="145">
        <f>C23+C27+C32+C40+C41+C42+C48+C57</f>
        <v>1145156599.8899999</v>
      </c>
      <c r="D22" s="147">
        <f>D23+D27+D32+D40+D41+D42+D48+D57</f>
        <v>237849751.42999998</v>
      </c>
      <c r="E22" s="147">
        <f t="shared" si="0"/>
        <v>20.77006336538139</v>
      </c>
      <c r="F22" s="147">
        <f>F23+F27+F32+F40+F41+F42+F48+F57</f>
        <v>426175702.55</v>
      </c>
      <c r="G22" s="147">
        <f t="shared" si="1"/>
        <v>37.215495469435105</v>
      </c>
      <c r="H22" s="147">
        <f t="shared" si="2"/>
        <v>718980897.3399999</v>
      </c>
      <c r="I22" s="91"/>
      <c r="J22" s="103"/>
      <c r="K22" s="91"/>
    </row>
    <row r="23" spans="1:11" ht="12.75">
      <c r="A23" s="14" t="s">
        <v>679</v>
      </c>
      <c r="B23" s="145">
        <f>SUM(B24:B26)</f>
        <v>320513000</v>
      </c>
      <c r="C23" s="145">
        <f>SUM(C24:C26)</f>
        <v>320513000</v>
      </c>
      <c r="D23" s="147">
        <f>SUM(D24:D26)</f>
        <v>81579876.21999998</v>
      </c>
      <c r="E23" s="147">
        <f t="shared" si="0"/>
        <v>25.452907127012004</v>
      </c>
      <c r="F23" s="147">
        <f>SUM(F24:F26)</f>
        <v>126760160.68</v>
      </c>
      <c r="G23" s="147">
        <f t="shared" si="1"/>
        <v>39.54914798463713</v>
      </c>
      <c r="H23" s="147">
        <f t="shared" si="2"/>
        <v>193752839.32</v>
      </c>
      <c r="I23" s="91"/>
      <c r="J23" s="103"/>
      <c r="K23" s="91"/>
    </row>
    <row r="24" spans="1:11" ht="12.75">
      <c r="A24" s="14" t="s">
        <v>8</v>
      </c>
      <c r="B24" s="145">
        <v>285950000</v>
      </c>
      <c r="C24" s="145">
        <v>285950000</v>
      </c>
      <c r="D24" s="147">
        <v>70045336.99</v>
      </c>
      <c r="E24" s="147">
        <f t="shared" si="0"/>
        <v>24.49565902780206</v>
      </c>
      <c r="F24" s="147">
        <v>112387206.75</v>
      </c>
      <c r="G24" s="147">
        <f t="shared" si="1"/>
        <v>39.30309730722154</v>
      </c>
      <c r="H24" s="147">
        <f t="shared" si="2"/>
        <v>173562793.25</v>
      </c>
      <c r="I24" s="91"/>
      <c r="J24" s="103"/>
      <c r="K24" s="91"/>
    </row>
    <row r="25" spans="1:11" ht="12.75">
      <c r="A25" s="14" t="s">
        <v>9</v>
      </c>
      <c r="B25" s="145">
        <v>34222000</v>
      </c>
      <c r="C25" s="145">
        <v>34222000</v>
      </c>
      <c r="D25" s="147">
        <v>11504092.91</v>
      </c>
      <c r="E25" s="147">
        <f t="shared" si="0"/>
        <v>33.61607419204021</v>
      </c>
      <c r="F25" s="147">
        <v>14305661.59</v>
      </c>
      <c r="G25" s="147">
        <f t="shared" si="1"/>
        <v>41.802529337852846</v>
      </c>
      <c r="H25" s="147">
        <f t="shared" si="2"/>
        <v>19916338.41</v>
      </c>
      <c r="I25" s="91"/>
      <c r="J25" s="103"/>
      <c r="K25" s="91"/>
    </row>
    <row r="26" spans="1:11" ht="12.75">
      <c r="A26" s="14" t="s">
        <v>10</v>
      </c>
      <c r="B26" s="145">
        <v>341000</v>
      </c>
      <c r="C26" s="145">
        <v>341000</v>
      </c>
      <c r="D26" s="147">
        <v>30446.32</v>
      </c>
      <c r="E26" s="147">
        <f t="shared" si="0"/>
        <v>8.928539589442815</v>
      </c>
      <c r="F26" s="147">
        <v>67292.34</v>
      </c>
      <c r="G26" s="147">
        <f t="shared" si="1"/>
        <v>19.73382404692082</v>
      </c>
      <c r="H26" s="147">
        <f t="shared" si="2"/>
        <v>273707.66000000003</v>
      </c>
      <c r="I26" s="91"/>
      <c r="J26" s="103"/>
      <c r="K26" s="91"/>
    </row>
    <row r="27" spans="1:11" ht="12.75">
      <c r="A27" s="14" t="s">
        <v>680</v>
      </c>
      <c r="B27" s="145">
        <f>SUM(B28:B31)</f>
        <v>66960180</v>
      </c>
      <c r="C27" s="145">
        <f>SUM(C28:C31)</f>
        <v>66960180</v>
      </c>
      <c r="D27" s="147">
        <f>SUM(D28:D31)</f>
        <v>11556789.29</v>
      </c>
      <c r="E27" s="147">
        <f t="shared" si="0"/>
        <v>17.259196868945097</v>
      </c>
      <c r="F27" s="147">
        <f>SUM(F28:F31)</f>
        <v>24141253.88</v>
      </c>
      <c r="G27" s="147">
        <f t="shared" si="1"/>
        <v>36.05314961817606</v>
      </c>
      <c r="H27" s="147">
        <f t="shared" si="2"/>
        <v>42818926.120000005</v>
      </c>
      <c r="I27" s="91"/>
      <c r="J27" s="103"/>
      <c r="K27" s="91"/>
    </row>
    <row r="28" spans="1:11" ht="12.75">
      <c r="A28" s="14" t="s">
        <v>11</v>
      </c>
      <c r="B28" s="145">
        <v>42095080</v>
      </c>
      <c r="C28" s="145">
        <v>42095080</v>
      </c>
      <c r="D28" s="147">
        <v>6672617.57</v>
      </c>
      <c r="E28" s="147">
        <f t="shared" si="0"/>
        <v>15.851300365743457</v>
      </c>
      <c r="F28" s="147">
        <v>15408214.52</v>
      </c>
      <c r="G28" s="147">
        <f t="shared" si="1"/>
        <v>36.603362008101655</v>
      </c>
      <c r="H28" s="147">
        <f t="shared" si="2"/>
        <v>26686865.48</v>
      </c>
      <c r="I28" s="91"/>
      <c r="J28" s="103"/>
      <c r="K28" s="91"/>
    </row>
    <row r="29" spans="1:11" ht="12.75">
      <c r="A29" s="14" t="s">
        <v>681</v>
      </c>
      <c r="B29" s="145"/>
      <c r="C29" s="145"/>
      <c r="D29" s="147"/>
      <c r="E29" s="147">
        <f t="shared" si="0"/>
        <v>0</v>
      </c>
      <c r="F29" s="147"/>
      <c r="G29" s="147">
        <f t="shared" si="1"/>
        <v>0</v>
      </c>
      <c r="H29" s="147">
        <f t="shared" si="2"/>
        <v>0</v>
      </c>
      <c r="I29" s="91"/>
      <c r="J29" s="103"/>
      <c r="K29" s="91"/>
    </row>
    <row r="30" spans="1:11" ht="25.5">
      <c r="A30" s="104" t="s">
        <v>704</v>
      </c>
      <c r="B30" s="145"/>
      <c r="C30" s="145"/>
      <c r="D30" s="147"/>
      <c r="E30" s="147">
        <f t="shared" si="0"/>
        <v>0</v>
      </c>
      <c r="F30" s="147"/>
      <c r="G30" s="147">
        <f t="shared" si="1"/>
        <v>0</v>
      </c>
      <c r="H30" s="147">
        <f t="shared" si="2"/>
        <v>0</v>
      </c>
      <c r="I30" s="91"/>
      <c r="J30" s="103"/>
      <c r="K30" s="91"/>
    </row>
    <row r="31" spans="1:11" ht="25.5">
      <c r="A31" s="104" t="s">
        <v>705</v>
      </c>
      <c r="B31" s="145">
        <v>24865100</v>
      </c>
      <c r="C31" s="145">
        <v>24865100</v>
      </c>
      <c r="D31" s="147">
        <v>4884171.72</v>
      </c>
      <c r="E31" s="147">
        <f t="shared" si="0"/>
        <v>19.642678774668106</v>
      </c>
      <c r="F31" s="147">
        <v>8733039.36</v>
      </c>
      <c r="G31" s="147">
        <f t="shared" si="1"/>
        <v>35.121673992865496</v>
      </c>
      <c r="H31" s="147">
        <f t="shared" si="2"/>
        <v>16132060.64</v>
      </c>
      <c r="I31" s="91"/>
      <c r="J31" s="103"/>
      <c r="K31" s="91"/>
    </row>
    <row r="32" spans="1:11" ht="12.75">
      <c r="A32" s="14" t="s">
        <v>12</v>
      </c>
      <c r="B32" s="145">
        <f>SUM(B33:B39)</f>
        <v>73028137.6</v>
      </c>
      <c r="C32" s="145">
        <f>SUM(C33:C39)</f>
        <v>73028273.14</v>
      </c>
      <c r="D32" s="147">
        <f>SUM(D33:D39)</f>
        <v>32113463.41</v>
      </c>
      <c r="E32" s="147">
        <f t="shared" si="0"/>
        <v>43.97401448674047</v>
      </c>
      <c r="F32" s="147">
        <f>SUM(F33:F39)</f>
        <v>23196730.259999998</v>
      </c>
      <c r="G32" s="147">
        <f t="shared" si="1"/>
        <v>31.76404050460065</v>
      </c>
      <c r="H32" s="147">
        <f t="shared" si="2"/>
        <v>49831542.88</v>
      </c>
      <c r="I32" s="91"/>
      <c r="J32" s="103"/>
      <c r="K32" s="91"/>
    </row>
    <row r="33" spans="1:11" ht="12.75">
      <c r="A33" s="14" t="s">
        <v>682</v>
      </c>
      <c r="B33" s="145">
        <v>671000</v>
      </c>
      <c r="C33" s="145">
        <v>671000</v>
      </c>
      <c r="D33" s="147">
        <v>36113.46</v>
      </c>
      <c r="E33" s="147">
        <f t="shared" si="0"/>
        <v>5.382035767511177</v>
      </c>
      <c r="F33" s="147">
        <v>52906.79</v>
      </c>
      <c r="G33" s="147">
        <f t="shared" si="1"/>
        <v>7.884767511177347</v>
      </c>
      <c r="H33" s="147">
        <f t="shared" si="2"/>
        <v>618093.21</v>
      </c>
      <c r="I33" s="91"/>
      <c r="J33" s="103"/>
      <c r="K33" s="91"/>
    </row>
    <row r="34" spans="1:11" ht="12.75">
      <c r="A34" s="14" t="s">
        <v>683</v>
      </c>
      <c r="B34" s="145">
        <v>71799037.6</v>
      </c>
      <c r="C34" s="145">
        <v>71799173.14</v>
      </c>
      <c r="D34" s="147">
        <v>31965052.78</v>
      </c>
      <c r="E34" s="147">
        <f t="shared" si="0"/>
        <v>44.520084817233034</v>
      </c>
      <c r="F34" s="147">
        <v>22915109.9</v>
      </c>
      <c r="G34" s="147">
        <f t="shared" si="1"/>
        <v>31.915562391391628</v>
      </c>
      <c r="H34" s="147">
        <f t="shared" si="2"/>
        <v>48884063.24</v>
      </c>
      <c r="I34" s="91"/>
      <c r="J34" s="103"/>
      <c r="K34" s="91"/>
    </row>
    <row r="35" spans="1:11" ht="25.5">
      <c r="A35" s="104" t="s">
        <v>706</v>
      </c>
      <c r="B35" s="145">
        <v>450100</v>
      </c>
      <c r="C35" s="145">
        <v>450100</v>
      </c>
      <c r="D35" s="147">
        <v>94650.36</v>
      </c>
      <c r="E35" s="147">
        <f t="shared" si="0"/>
        <v>21.02874027993779</v>
      </c>
      <c r="F35" s="147">
        <v>189979.78</v>
      </c>
      <c r="G35" s="147">
        <f t="shared" si="1"/>
        <v>42.208349255720954</v>
      </c>
      <c r="H35" s="147">
        <f t="shared" si="2"/>
        <v>260120.22</v>
      </c>
      <c r="I35" s="91"/>
      <c r="J35" s="103"/>
      <c r="K35" s="91"/>
    </row>
    <row r="36" spans="1:11" ht="12.75">
      <c r="A36" s="14" t="s">
        <v>684</v>
      </c>
      <c r="B36" s="145"/>
      <c r="C36" s="145"/>
      <c r="D36" s="147"/>
      <c r="E36" s="147">
        <f t="shared" si="0"/>
        <v>0</v>
      </c>
      <c r="F36" s="147"/>
      <c r="G36" s="147">
        <f t="shared" si="1"/>
        <v>0</v>
      </c>
      <c r="H36" s="147">
        <f t="shared" si="2"/>
        <v>0</v>
      </c>
      <c r="I36" s="91"/>
      <c r="J36" s="103"/>
      <c r="K36" s="91"/>
    </row>
    <row r="37" spans="1:11" ht="12.75">
      <c r="A37" s="14" t="s">
        <v>685</v>
      </c>
      <c r="B37" s="145"/>
      <c r="C37" s="145"/>
      <c r="D37" s="147"/>
      <c r="E37" s="147">
        <f t="shared" si="0"/>
        <v>0</v>
      </c>
      <c r="F37" s="147"/>
      <c r="G37" s="147">
        <f t="shared" si="1"/>
        <v>0</v>
      </c>
      <c r="H37" s="147">
        <f t="shared" si="2"/>
        <v>0</v>
      </c>
      <c r="I37" s="91"/>
      <c r="J37" s="103"/>
      <c r="K37" s="91"/>
    </row>
    <row r="38" spans="1:11" ht="12.75">
      <c r="A38" s="104" t="s">
        <v>686</v>
      </c>
      <c r="B38" s="145">
        <v>108000</v>
      </c>
      <c r="C38" s="145">
        <v>108000</v>
      </c>
      <c r="D38" s="147">
        <v>17646.81</v>
      </c>
      <c r="E38" s="147">
        <f t="shared" si="0"/>
        <v>16.339638888888892</v>
      </c>
      <c r="F38" s="147">
        <v>38733.79</v>
      </c>
      <c r="G38" s="147">
        <f t="shared" si="1"/>
        <v>35.86462037037037</v>
      </c>
      <c r="H38" s="147">
        <f t="shared" si="2"/>
        <v>69266.20999999999</v>
      </c>
      <c r="I38" s="91"/>
      <c r="J38" s="103"/>
      <c r="K38" s="91"/>
    </row>
    <row r="39" spans="1:11" ht="12.75">
      <c r="A39" s="14" t="s">
        <v>687</v>
      </c>
      <c r="B39" s="145"/>
      <c r="C39" s="145"/>
      <c r="D39" s="147"/>
      <c r="E39" s="147">
        <f t="shared" si="0"/>
        <v>0</v>
      </c>
      <c r="F39" s="147"/>
      <c r="G39" s="147">
        <f t="shared" si="1"/>
        <v>0</v>
      </c>
      <c r="H39" s="147">
        <f t="shared" si="2"/>
        <v>0</v>
      </c>
      <c r="I39" s="91"/>
      <c r="J39" s="103"/>
      <c r="K39" s="91"/>
    </row>
    <row r="40" spans="1:11" ht="12.75">
      <c r="A40" s="14" t="s">
        <v>16</v>
      </c>
      <c r="B40" s="145"/>
      <c r="C40" s="145"/>
      <c r="D40" s="147"/>
      <c r="E40" s="147">
        <f t="shared" si="0"/>
        <v>0</v>
      </c>
      <c r="F40" s="147"/>
      <c r="G40" s="147">
        <f t="shared" si="1"/>
        <v>0</v>
      </c>
      <c r="H40" s="147">
        <f t="shared" si="2"/>
        <v>0</v>
      </c>
      <c r="I40" s="91"/>
      <c r="J40" s="103"/>
      <c r="K40" s="91"/>
    </row>
    <row r="41" spans="1:11" ht="12.75">
      <c r="A41" s="14" t="s">
        <v>17</v>
      </c>
      <c r="B41" s="145"/>
      <c r="C41" s="145"/>
      <c r="D41" s="147"/>
      <c r="E41" s="147">
        <f t="shared" si="0"/>
        <v>0</v>
      </c>
      <c r="F41" s="147"/>
      <c r="G41" s="147">
        <f t="shared" si="1"/>
        <v>0</v>
      </c>
      <c r="H41" s="147">
        <f t="shared" si="2"/>
        <v>0</v>
      </c>
      <c r="I41" s="91"/>
      <c r="J41" s="103"/>
      <c r="K41" s="91"/>
    </row>
    <row r="42" spans="1:11" ht="12.75">
      <c r="A42" s="14" t="s">
        <v>18</v>
      </c>
      <c r="B42" s="145">
        <f>SUM(B43:B47)</f>
        <v>124865000</v>
      </c>
      <c r="C42" s="145">
        <f>SUM(C43:C47)</f>
        <v>124865000</v>
      </c>
      <c r="D42" s="147">
        <f>SUM(D43:D47)</f>
        <v>19835816.81</v>
      </c>
      <c r="E42" s="147">
        <f t="shared" si="0"/>
        <v>15.885810122932767</v>
      </c>
      <c r="F42" s="147">
        <f>SUM(F43:F47)</f>
        <v>40154984.779999994</v>
      </c>
      <c r="G42" s="147">
        <f t="shared" si="1"/>
        <v>32.15871924078004</v>
      </c>
      <c r="H42" s="147">
        <f t="shared" si="2"/>
        <v>84710015.22</v>
      </c>
      <c r="I42" s="91"/>
      <c r="J42" s="103"/>
      <c r="K42" s="91"/>
    </row>
    <row r="43" spans="1:11" ht="12.75">
      <c r="A43" s="104" t="s">
        <v>688</v>
      </c>
      <c r="B43" s="145">
        <v>123134000</v>
      </c>
      <c r="C43" s="145">
        <v>123134000</v>
      </c>
      <c r="D43" s="147">
        <v>19499312.66</v>
      </c>
      <c r="E43" s="147">
        <f t="shared" si="0"/>
        <v>15.835847661896796</v>
      </c>
      <c r="F43" s="147">
        <v>39424246.23</v>
      </c>
      <c r="G43" s="147">
        <f t="shared" si="1"/>
        <v>32.0173520148781</v>
      </c>
      <c r="H43" s="147">
        <f t="shared" si="2"/>
        <v>83709753.77000001</v>
      </c>
      <c r="I43" s="91"/>
      <c r="J43" s="103"/>
      <c r="K43" s="91"/>
    </row>
    <row r="44" spans="1:11" ht="25.5">
      <c r="A44" s="104" t="s">
        <v>707</v>
      </c>
      <c r="B44" s="145">
        <v>507000</v>
      </c>
      <c r="C44" s="145">
        <v>507000</v>
      </c>
      <c r="D44" s="147">
        <v>51129.25</v>
      </c>
      <c r="E44" s="147">
        <f t="shared" si="0"/>
        <v>10.084664694280079</v>
      </c>
      <c r="F44" s="147">
        <v>132900.66</v>
      </c>
      <c r="G44" s="147">
        <f t="shared" si="1"/>
        <v>26.213147928994086</v>
      </c>
      <c r="H44" s="147">
        <f t="shared" si="2"/>
        <v>374099.33999999997</v>
      </c>
      <c r="I44" s="91"/>
      <c r="J44" s="103"/>
      <c r="K44" s="91"/>
    </row>
    <row r="45" spans="1:11" ht="12.75">
      <c r="A45" s="14" t="s">
        <v>689</v>
      </c>
      <c r="B45" s="145"/>
      <c r="C45" s="145"/>
      <c r="D45" s="147"/>
      <c r="E45" s="147">
        <f t="shared" si="0"/>
        <v>0</v>
      </c>
      <c r="F45" s="147"/>
      <c r="G45" s="147">
        <f t="shared" si="1"/>
        <v>0</v>
      </c>
      <c r="H45" s="147">
        <f t="shared" si="2"/>
        <v>0</v>
      </c>
      <c r="I45" s="91"/>
      <c r="J45" s="103"/>
      <c r="K45" s="91"/>
    </row>
    <row r="46" spans="1:11" ht="12.75">
      <c r="A46" s="104" t="s">
        <v>690</v>
      </c>
      <c r="B46" s="145"/>
      <c r="C46" s="145"/>
      <c r="D46" s="147"/>
      <c r="E46" s="147">
        <f t="shared" si="0"/>
        <v>0</v>
      </c>
      <c r="F46" s="147"/>
      <c r="G46" s="147">
        <f t="shared" si="1"/>
        <v>0</v>
      </c>
      <c r="H46" s="147">
        <f t="shared" si="2"/>
        <v>0</v>
      </c>
      <c r="I46" s="91"/>
      <c r="J46" s="103"/>
      <c r="K46" s="91"/>
    </row>
    <row r="47" spans="1:11" ht="12.75">
      <c r="A47" s="14" t="s">
        <v>691</v>
      </c>
      <c r="B47" s="145">
        <v>1224000</v>
      </c>
      <c r="C47" s="145">
        <v>1224000</v>
      </c>
      <c r="D47" s="147">
        <v>285374.9</v>
      </c>
      <c r="E47" s="147">
        <f t="shared" si="0"/>
        <v>23.314942810457516</v>
      </c>
      <c r="F47" s="147">
        <v>597837.89</v>
      </c>
      <c r="G47" s="147">
        <f t="shared" si="1"/>
        <v>48.84296486928105</v>
      </c>
      <c r="H47" s="147">
        <f t="shared" si="2"/>
        <v>626162.11</v>
      </c>
      <c r="I47" s="91"/>
      <c r="J47" s="103"/>
      <c r="K47" s="91"/>
    </row>
    <row r="48" spans="1:11" ht="12.75">
      <c r="A48" s="14" t="s">
        <v>19</v>
      </c>
      <c r="B48" s="145">
        <f>SUM(B49:B56)</f>
        <v>539081262.4</v>
      </c>
      <c r="C48" s="145">
        <f>SUM(C49:C56)</f>
        <v>545051896.75</v>
      </c>
      <c r="D48" s="147">
        <f>SUM(D49:D56)</f>
        <v>90719738.82</v>
      </c>
      <c r="E48" s="147">
        <f t="shared" si="0"/>
        <v>16.64423871578794</v>
      </c>
      <c r="F48" s="147">
        <f>SUM(F49:F56)</f>
        <v>207318226.63</v>
      </c>
      <c r="G48" s="147">
        <f t="shared" si="1"/>
        <v>38.03641962649495</v>
      </c>
      <c r="H48" s="147">
        <f t="shared" si="2"/>
        <v>337733670.12</v>
      </c>
      <c r="I48" s="91"/>
      <c r="J48" s="103"/>
      <c r="K48" s="91"/>
    </row>
    <row r="49" spans="1:11" ht="12.75">
      <c r="A49" s="14" t="s">
        <v>692</v>
      </c>
      <c r="B49" s="145">
        <v>144157160</v>
      </c>
      <c r="C49" s="145">
        <v>147105252.35</v>
      </c>
      <c r="D49" s="147">
        <v>26450064.96</v>
      </c>
      <c r="E49" s="147">
        <f t="shared" si="0"/>
        <v>17.9803674834592</v>
      </c>
      <c r="F49" s="147">
        <v>51776696.63</v>
      </c>
      <c r="G49" s="147">
        <f t="shared" si="1"/>
        <v>35.197041439968686</v>
      </c>
      <c r="H49" s="147">
        <f t="shared" si="2"/>
        <v>95328555.72</v>
      </c>
      <c r="I49" s="91"/>
      <c r="J49" s="103"/>
      <c r="K49" s="91"/>
    </row>
    <row r="50" spans="1:11" ht="25.5">
      <c r="A50" s="104" t="s">
        <v>708</v>
      </c>
      <c r="B50" s="145">
        <v>275899702.4</v>
      </c>
      <c r="C50" s="145">
        <v>278812944.4</v>
      </c>
      <c r="D50" s="147">
        <v>44980798.71</v>
      </c>
      <c r="E50" s="147">
        <f t="shared" si="0"/>
        <v>16.13296642550001</v>
      </c>
      <c r="F50" s="147">
        <v>111276940.07</v>
      </c>
      <c r="G50" s="147">
        <f t="shared" si="1"/>
        <v>39.910966224852224</v>
      </c>
      <c r="H50" s="147">
        <f t="shared" si="2"/>
        <v>167536004.32999998</v>
      </c>
      <c r="I50" s="91"/>
      <c r="J50" s="103"/>
      <c r="K50" s="91"/>
    </row>
    <row r="51" spans="1:11" ht="12.75">
      <c r="A51" s="14" t="s">
        <v>693</v>
      </c>
      <c r="B51" s="145">
        <v>0</v>
      </c>
      <c r="C51" s="145">
        <v>109300</v>
      </c>
      <c r="D51" s="147">
        <v>60692.49</v>
      </c>
      <c r="E51" s="147">
        <f t="shared" si="0"/>
        <v>55.52835315645014</v>
      </c>
      <c r="F51" s="147">
        <v>60692.49</v>
      </c>
      <c r="G51" s="147">
        <f t="shared" si="1"/>
        <v>55.52835315645014</v>
      </c>
      <c r="H51" s="147">
        <f t="shared" si="2"/>
        <v>48607.51</v>
      </c>
      <c r="I51" s="91"/>
      <c r="J51" s="103"/>
      <c r="K51" s="91"/>
    </row>
    <row r="52" spans="1:11" ht="12.75">
      <c r="A52" s="14" t="s">
        <v>20</v>
      </c>
      <c r="B52" s="145">
        <v>821200</v>
      </c>
      <c r="C52" s="145">
        <v>821200</v>
      </c>
      <c r="D52" s="147">
        <v>67796.92</v>
      </c>
      <c r="E52" s="147">
        <f t="shared" si="0"/>
        <v>8.255835362883584</v>
      </c>
      <c r="F52" s="147">
        <v>169531.83</v>
      </c>
      <c r="G52" s="147">
        <f t="shared" si="1"/>
        <v>20.64440209449586</v>
      </c>
      <c r="H52" s="147">
        <f t="shared" si="2"/>
        <v>651668.17</v>
      </c>
      <c r="I52" s="91"/>
      <c r="J52" s="103"/>
      <c r="K52" s="91"/>
    </row>
    <row r="53" spans="1:11" ht="12.75">
      <c r="A53" s="14" t="s">
        <v>30</v>
      </c>
      <c r="B53" s="145">
        <v>117800000</v>
      </c>
      <c r="C53" s="145">
        <v>117800000</v>
      </c>
      <c r="D53" s="147">
        <v>19159232.55</v>
      </c>
      <c r="E53" s="147">
        <f aca="true" t="shared" si="3" ref="E53:E84">IF(C53&gt;0,D53/C53,0)*100</f>
        <v>16.26420420203735</v>
      </c>
      <c r="F53" s="147">
        <v>44032776.36</v>
      </c>
      <c r="G53" s="147">
        <f aca="true" t="shared" si="4" ref="G53:G84">IF(C53&gt;0,F53/C53,0)*100</f>
        <v>37.379266859083195</v>
      </c>
      <c r="H53" s="147">
        <f aca="true" t="shared" si="5" ref="H53:H84">C53-F53</f>
        <v>73767223.64</v>
      </c>
      <c r="I53" s="91"/>
      <c r="J53" s="103"/>
      <c r="K53" s="91"/>
    </row>
    <row r="54" spans="1:11" ht="12.75">
      <c r="A54" s="14" t="s">
        <v>21</v>
      </c>
      <c r="B54" s="145"/>
      <c r="C54" s="145"/>
      <c r="D54" s="147"/>
      <c r="E54" s="147">
        <f t="shared" si="3"/>
        <v>0</v>
      </c>
      <c r="F54" s="147"/>
      <c r="G54" s="147">
        <f t="shared" si="4"/>
        <v>0</v>
      </c>
      <c r="H54" s="147">
        <f t="shared" si="5"/>
        <v>0</v>
      </c>
      <c r="I54" s="91"/>
      <c r="J54" s="103"/>
      <c r="K54" s="91"/>
    </row>
    <row r="55" spans="1:11" ht="12.75">
      <c r="A55" s="12" t="s">
        <v>694</v>
      </c>
      <c r="B55" s="145">
        <v>403200</v>
      </c>
      <c r="C55" s="145">
        <v>403200</v>
      </c>
      <c r="D55" s="147">
        <v>1153.19</v>
      </c>
      <c r="E55" s="147">
        <f t="shared" si="3"/>
        <v>0.28600942460317463</v>
      </c>
      <c r="F55" s="147">
        <v>1589.25</v>
      </c>
      <c r="G55" s="147">
        <f t="shared" si="4"/>
        <v>0.39415922619047616</v>
      </c>
      <c r="H55" s="147">
        <f t="shared" si="5"/>
        <v>401610.75</v>
      </c>
      <c r="I55" s="91"/>
      <c r="J55" s="103"/>
      <c r="K55" s="91"/>
    </row>
    <row r="56" spans="1:11" ht="25.5">
      <c r="A56" s="13" t="s">
        <v>709</v>
      </c>
      <c r="B56" s="145"/>
      <c r="C56" s="145"/>
      <c r="D56" s="147"/>
      <c r="E56" s="147">
        <f t="shared" si="3"/>
        <v>0</v>
      </c>
      <c r="F56" s="147"/>
      <c r="G56" s="147">
        <f t="shared" si="4"/>
        <v>0</v>
      </c>
      <c r="H56" s="147">
        <f t="shared" si="5"/>
        <v>0</v>
      </c>
      <c r="I56" s="91"/>
      <c r="J56" s="103"/>
      <c r="K56" s="91"/>
    </row>
    <row r="57" spans="1:11" ht="12.75">
      <c r="A57" s="14" t="s">
        <v>22</v>
      </c>
      <c r="B57" s="145">
        <f>SUM(B58:B61)</f>
        <v>14738250</v>
      </c>
      <c r="C57" s="145">
        <f>SUM(C58:C61)</f>
        <v>14738250</v>
      </c>
      <c r="D57" s="147">
        <f>SUM(D58:D61)</f>
        <v>2044066.8800000001</v>
      </c>
      <c r="E57" s="147">
        <f t="shared" si="3"/>
        <v>13.869128831441996</v>
      </c>
      <c r="F57" s="147">
        <f>SUM(F58:F61)</f>
        <v>4604346.32</v>
      </c>
      <c r="G57" s="147">
        <f t="shared" si="4"/>
        <v>31.240793988431463</v>
      </c>
      <c r="H57" s="147">
        <f t="shared" si="5"/>
        <v>10133903.68</v>
      </c>
      <c r="I57" s="91"/>
      <c r="J57" s="103"/>
      <c r="K57" s="91"/>
    </row>
    <row r="58" spans="1:11" ht="12.75">
      <c r="A58" s="14" t="s">
        <v>695</v>
      </c>
      <c r="B58" s="145">
        <v>6323200</v>
      </c>
      <c r="C58" s="145">
        <v>6323200</v>
      </c>
      <c r="D58" s="147">
        <v>829123.18</v>
      </c>
      <c r="E58" s="147">
        <f t="shared" si="3"/>
        <v>13.112398469129555</v>
      </c>
      <c r="F58" s="147">
        <v>2228827.68</v>
      </c>
      <c r="G58" s="147">
        <f t="shared" si="4"/>
        <v>35.24841346153846</v>
      </c>
      <c r="H58" s="147">
        <f t="shared" si="5"/>
        <v>4094372.32</v>
      </c>
      <c r="I58" s="91"/>
      <c r="J58" s="103"/>
      <c r="K58" s="91"/>
    </row>
    <row r="59" spans="1:11" ht="12.75">
      <c r="A59" s="14" t="s">
        <v>696</v>
      </c>
      <c r="B59" s="145">
        <v>876050</v>
      </c>
      <c r="C59" s="145">
        <v>876050</v>
      </c>
      <c r="D59" s="147">
        <v>175508.02</v>
      </c>
      <c r="E59" s="147">
        <f t="shared" si="3"/>
        <v>20.034018606243933</v>
      </c>
      <c r="F59" s="147">
        <v>408337.19</v>
      </c>
      <c r="G59" s="147">
        <f t="shared" si="4"/>
        <v>46.61117401974773</v>
      </c>
      <c r="H59" s="147">
        <f t="shared" si="5"/>
        <v>467712.81</v>
      </c>
      <c r="I59" s="91"/>
      <c r="J59" s="103"/>
      <c r="K59" s="91"/>
    </row>
    <row r="60" spans="1:11" ht="25.5">
      <c r="A60" s="104" t="s">
        <v>721</v>
      </c>
      <c r="B60" s="145"/>
      <c r="C60" s="145"/>
      <c r="D60" s="147"/>
      <c r="E60" s="147">
        <f t="shared" si="3"/>
        <v>0</v>
      </c>
      <c r="F60" s="147"/>
      <c r="G60" s="147">
        <f t="shared" si="4"/>
        <v>0</v>
      </c>
      <c r="H60" s="147">
        <f t="shared" si="5"/>
        <v>0</v>
      </c>
      <c r="I60" s="91"/>
      <c r="J60" s="103"/>
      <c r="K60" s="91"/>
    </row>
    <row r="61" spans="1:11" ht="12.75">
      <c r="A61" s="12" t="s">
        <v>93</v>
      </c>
      <c r="B61" s="145">
        <v>7539000</v>
      </c>
      <c r="C61" s="145">
        <v>7539000</v>
      </c>
      <c r="D61" s="147">
        <v>1039435.68</v>
      </c>
      <c r="E61" s="147">
        <f t="shared" si="3"/>
        <v>13.787447672105055</v>
      </c>
      <c r="F61" s="147">
        <v>1967181.45</v>
      </c>
      <c r="G61" s="147">
        <f t="shared" si="4"/>
        <v>26.093400318344607</v>
      </c>
      <c r="H61" s="147">
        <f t="shared" si="5"/>
        <v>5571818.55</v>
      </c>
      <c r="I61" s="91"/>
      <c r="J61" s="103"/>
      <c r="K61" s="91"/>
    </row>
    <row r="62" spans="1:11" ht="12.75">
      <c r="A62" s="14" t="s">
        <v>23</v>
      </c>
      <c r="B62" s="145">
        <f>B63+B66+B71+B80</f>
        <v>1790000</v>
      </c>
      <c r="C62" s="145">
        <f>C63+C66+C71+C80</f>
        <v>2668581.4</v>
      </c>
      <c r="D62" s="147">
        <f>D63+D66+D71+D80</f>
        <v>933939.2</v>
      </c>
      <c r="E62" s="147">
        <f t="shared" si="3"/>
        <v>34.99759085482646</v>
      </c>
      <c r="F62" s="147">
        <f>F63+F66+F71+F80</f>
        <v>1515498.47</v>
      </c>
      <c r="G62" s="147">
        <f t="shared" si="4"/>
        <v>56.790415686776505</v>
      </c>
      <c r="H62" s="147">
        <f t="shared" si="5"/>
        <v>1153082.93</v>
      </c>
      <c r="I62" s="91"/>
      <c r="J62" s="103"/>
      <c r="K62" s="91"/>
    </row>
    <row r="63" spans="1:11" ht="12.75">
      <c r="A63" s="14" t="s">
        <v>24</v>
      </c>
      <c r="B63" s="145">
        <f>SUM(B64:B65)</f>
        <v>0</v>
      </c>
      <c r="C63" s="145">
        <f>SUM(C64:C65)</f>
        <v>0</v>
      </c>
      <c r="D63" s="147">
        <f>SUM(D64:D65)</f>
        <v>0</v>
      </c>
      <c r="E63" s="147">
        <f t="shared" si="3"/>
        <v>0</v>
      </c>
      <c r="F63" s="147">
        <f>SUM(F64:F65)</f>
        <v>0</v>
      </c>
      <c r="G63" s="147">
        <f t="shared" si="4"/>
        <v>0</v>
      </c>
      <c r="H63" s="147">
        <f t="shared" si="5"/>
        <v>0</v>
      </c>
      <c r="I63" s="91"/>
      <c r="J63" s="103"/>
      <c r="K63" s="91"/>
    </row>
    <row r="64" spans="1:11" ht="12.75">
      <c r="A64" s="14" t="s">
        <v>697</v>
      </c>
      <c r="B64" s="145"/>
      <c r="C64" s="145"/>
      <c r="D64" s="147"/>
      <c r="E64" s="147">
        <f t="shared" si="3"/>
        <v>0</v>
      </c>
      <c r="F64" s="147"/>
      <c r="G64" s="147">
        <f t="shared" si="4"/>
        <v>0</v>
      </c>
      <c r="H64" s="147">
        <f t="shared" si="5"/>
        <v>0</v>
      </c>
      <c r="I64" s="91"/>
      <c r="J64" s="103"/>
      <c r="K64" s="91"/>
    </row>
    <row r="65" spans="1:11" ht="12.75">
      <c r="A65" s="14" t="s">
        <v>698</v>
      </c>
      <c r="B65" s="145"/>
      <c r="C65" s="145"/>
      <c r="D65" s="147"/>
      <c r="E65" s="147">
        <f t="shared" si="3"/>
        <v>0</v>
      </c>
      <c r="F65" s="147"/>
      <c r="G65" s="147">
        <f t="shared" si="4"/>
        <v>0</v>
      </c>
      <c r="H65" s="147">
        <f t="shared" si="5"/>
        <v>0</v>
      </c>
      <c r="I65" s="91"/>
      <c r="J65" s="103"/>
      <c r="K65" s="91"/>
    </row>
    <row r="66" spans="1:11" ht="12.75">
      <c r="A66" s="14" t="s">
        <v>25</v>
      </c>
      <c r="B66" s="145">
        <f>SUM(B67:B70)</f>
        <v>920000</v>
      </c>
      <c r="C66" s="145">
        <f>SUM(C67:C70)</f>
        <v>920000</v>
      </c>
      <c r="D66" s="147">
        <f>SUM(D67:D70)</f>
        <v>0</v>
      </c>
      <c r="E66" s="147">
        <f t="shared" si="3"/>
        <v>0</v>
      </c>
      <c r="F66" s="147">
        <f>SUM(F67:F70)</f>
        <v>31836</v>
      </c>
      <c r="G66" s="147">
        <f t="shared" si="4"/>
        <v>3.4604347826086954</v>
      </c>
      <c r="H66" s="147">
        <f t="shared" si="5"/>
        <v>888164</v>
      </c>
      <c r="I66" s="91"/>
      <c r="J66" s="103"/>
      <c r="K66" s="91"/>
    </row>
    <row r="67" spans="1:11" ht="12.75">
      <c r="A67" s="14" t="s">
        <v>26</v>
      </c>
      <c r="B67" s="145"/>
      <c r="C67" s="145"/>
      <c r="D67" s="147"/>
      <c r="E67" s="147">
        <f t="shared" si="3"/>
        <v>0</v>
      </c>
      <c r="F67" s="147"/>
      <c r="G67" s="147">
        <f t="shared" si="4"/>
        <v>0</v>
      </c>
      <c r="H67" s="147">
        <f t="shared" si="5"/>
        <v>0</v>
      </c>
      <c r="I67" s="91"/>
      <c r="J67" s="103"/>
      <c r="K67" s="91"/>
    </row>
    <row r="68" spans="1:11" ht="12.75">
      <c r="A68" s="14" t="s">
        <v>27</v>
      </c>
      <c r="B68" s="145">
        <v>920000</v>
      </c>
      <c r="C68" s="145">
        <v>920000</v>
      </c>
      <c r="D68" s="147">
        <v>0</v>
      </c>
      <c r="E68" s="147">
        <f t="shared" si="3"/>
        <v>0</v>
      </c>
      <c r="F68" s="147">
        <v>31836</v>
      </c>
      <c r="G68" s="147">
        <f t="shared" si="4"/>
        <v>3.4604347826086954</v>
      </c>
      <c r="H68" s="147">
        <f t="shared" si="5"/>
        <v>888164</v>
      </c>
      <c r="I68" s="91"/>
      <c r="J68" s="103"/>
      <c r="K68" s="91"/>
    </row>
    <row r="69" spans="1:11" ht="12.75">
      <c r="A69" s="14" t="s">
        <v>699</v>
      </c>
      <c r="B69" s="145"/>
      <c r="C69" s="145"/>
      <c r="D69" s="147"/>
      <c r="E69" s="147">
        <f t="shared" si="3"/>
        <v>0</v>
      </c>
      <c r="F69" s="147"/>
      <c r="G69" s="147">
        <f t="shared" si="4"/>
        <v>0</v>
      </c>
      <c r="H69" s="147">
        <f t="shared" si="5"/>
        <v>0</v>
      </c>
      <c r="I69" s="91"/>
      <c r="J69" s="103"/>
      <c r="K69" s="91"/>
    </row>
    <row r="70" spans="1:11" ht="12.75">
      <c r="A70" s="14" t="s">
        <v>28</v>
      </c>
      <c r="B70" s="145"/>
      <c r="C70" s="145"/>
      <c r="D70" s="147"/>
      <c r="E70" s="147">
        <f t="shared" si="3"/>
        <v>0</v>
      </c>
      <c r="F70" s="147"/>
      <c r="G70" s="147">
        <f t="shared" si="4"/>
        <v>0</v>
      </c>
      <c r="H70" s="147">
        <f t="shared" si="5"/>
        <v>0</v>
      </c>
      <c r="I70" s="91"/>
      <c r="J70" s="103"/>
      <c r="K70" s="91"/>
    </row>
    <row r="71" spans="1:11" ht="12.75">
      <c r="A71" s="14" t="s">
        <v>29</v>
      </c>
      <c r="B71" s="145">
        <f>SUM(B72:B79)</f>
        <v>870000</v>
      </c>
      <c r="C71" s="145">
        <f>SUM(C72:C79)</f>
        <v>1748581.4</v>
      </c>
      <c r="D71" s="147">
        <f>SUM(D72:D79)</f>
        <v>933939.2</v>
      </c>
      <c r="E71" s="147">
        <f t="shared" si="3"/>
        <v>53.41125097178776</v>
      </c>
      <c r="F71" s="147">
        <f>SUM(F72:F79)</f>
        <v>1483662.47</v>
      </c>
      <c r="G71" s="147">
        <f t="shared" si="4"/>
        <v>84.84949399553261</v>
      </c>
      <c r="H71" s="147">
        <f t="shared" si="5"/>
        <v>264918.92999999993</v>
      </c>
      <c r="I71" s="91"/>
      <c r="J71" s="103"/>
      <c r="K71" s="91"/>
    </row>
    <row r="72" spans="1:11" ht="12.75">
      <c r="A72" s="14" t="s">
        <v>700</v>
      </c>
      <c r="B72" s="145">
        <v>0</v>
      </c>
      <c r="C72" s="145">
        <v>100000</v>
      </c>
      <c r="D72" s="147">
        <v>196680</v>
      </c>
      <c r="E72" s="147">
        <f t="shared" si="3"/>
        <v>196.68</v>
      </c>
      <c r="F72" s="147">
        <v>196680</v>
      </c>
      <c r="G72" s="147">
        <f t="shared" si="4"/>
        <v>196.68</v>
      </c>
      <c r="H72" s="147">
        <f t="shared" si="5"/>
        <v>-96680</v>
      </c>
      <c r="I72" s="91"/>
      <c r="J72" s="103"/>
      <c r="K72" s="91"/>
    </row>
    <row r="73" spans="1:11" ht="25.5">
      <c r="A73" s="104" t="s">
        <v>708</v>
      </c>
      <c r="B73" s="145">
        <v>870000</v>
      </c>
      <c r="C73" s="145">
        <v>870000</v>
      </c>
      <c r="D73" s="147">
        <v>737259.2</v>
      </c>
      <c r="E73" s="147">
        <f t="shared" si="3"/>
        <v>84.74243678160919</v>
      </c>
      <c r="F73" s="147">
        <v>1286982.47</v>
      </c>
      <c r="G73" s="147">
        <f t="shared" si="4"/>
        <v>147.9290195402299</v>
      </c>
      <c r="H73" s="147">
        <f t="shared" si="5"/>
        <v>-416982.47</v>
      </c>
      <c r="I73" s="91"/>
      <c r="J73" s="103"/>
      <c r="K73" s="91"/>
    </row>
    <row r="74" spans="1:11" ht="12.75">
      <c r="A74" s="14" t="s">
        <v>693</v>
      </c>
      <c r="B74" s="145">
        <v>0</v>
      </c>
      <c r="C74" s="145">
        <v>112500</v>
      </c>
      <c r="D74" s="147">
        <v>0</v>
      </c>
      <c r="E74" s="147">
        <f t="shared" si="3"/>
        <v>0</v>
      </c>
      <c r="F74" s="147">
        <v>0</v>
      </c>
      <c r="G74" s="147">
        <f t="shared" si="4"/>
        <v>0</v>
      </c>
      <c r="H74" s="147">
        <f t="shared" si="5"/>
        <v>112500</v>
      </c>
      <c r="I74" s="91"/>
      <c r="J74" s="103"/>
      <c r="K74" s="91"/>
    </row>
    <row r="75" spans="1:11" ht="12.75">
      <c r="A75" s="14" t="s">
        <v>20</v>
      </c>
      <c r="B75" s="145">
        <v>0</v>
      </c>
      <c r="C75" s="145">
        <v>666081.4</v>
      </c>
      <c r="D75" s="147">
        <v>0</v>
      </c>
      <c r="E75" s="147">
        <f t="shared" si="3"/>
        <v>0</v>
      </c>
      <c r="F75" s="147">
        <v>0</v>
      </c>
      <c r="G75" s="147">
        <f t="shared" si="4"/>
        <v>0</v>
      </c>
      <c r="H75" s="147">
        <f t="shared" si="5"/>
        <v>666081.4</v>
      </c>
      <c r="I75" s="91"/>
      <c r="J75" s="103"/>
      <c r="K75" s="91"/>
    </row>
    <row r="76" spans="1:11" ht="12.75">
      <c r="A76" s="14" t="s">
        <v>30</v>
      </c>
      <c r="B76" s="145"/>
      <c r="C76" s="145"/>
      <c r="D76" s="147"/>
      <c r="E76" s="147">
        <f t="shared" si="3"/>
        <v>0</v>
      </c>
      <c r="F76" s="147"/>
      <c r="G76" s="147">
        <f t="shared" si="4"/>
        <v>0</v>
      </c>
      <c r="H76" s="147">
        <f t="shared" si="5"/>
        <v>0</v>
      </c>
      <c r="I76" s="91"/>
      <c r="J76" s="103"/>
      <c r="K76" s="91"/>
    </row>
    <row r="77" spans="1:11" ht="12.75">
      <c r="A77" s="14" t="s">
        <v>21</v>
      </c>
      <c r="B77" s="145"/>
      <c r="C77" s="145"/>
      <c r="D77" s="147"/>
      <c r="E77" s="147">
        <f t="shared" si="3"/>
        <v>0</v>
      </c>
      <c r="F77" s="147"/>
      <c r="G77" s="147">
        <f t="shared" si="4"/>
        <v>0</v>
      </c>
      <c r="H77" s="147">
        <f t="shared" si="5"/>
        <v>0</v>
      </c>
      <c r="I77" s="91"/>
      <c r="J77" s="103"/>
      <c r="K77" s="91"/>
    </row>
    <row r="78" spans="1:11" ht="12.75">
      <c r="A78" s="14" t="s">
        <v>694</v>
      </c>
      <c r="B78" s="145"/>
      <c r="C78" s="145"/>
      <c r="D78" s="147"/>
      <c r="E78" s="147">
        <f t="shared" si="3"/>
        <v>0</v>
      </c>
      <c r="F78" s="147"/>
      <c r="G78" s="147">
        <f t="shared" si="4"/>
        <v>0</v>
      </c>
      <c r="H78" s="147">
        <f t="shared" si="5"/>
        <v>0</v>
      </c>
      <c r="I78" s="91"/>
      <c r="J78" s="103"/>
      <c r="K78" s="91"/>
    </row>
    <row r="79" spans="1:11" ht="25.5">
      <c r="A79" s="15" t="s">
        <v>710</v>
      </c>
      <c r="B79" s="145"/>
      <c r="C79" s="145"/>
      <c r="D79" s="147"/>
      <c r="E79" s="147">
        <f t="shared" si="3"/>
        <v>0</v>
      </c>
      <c r="F79" s="147"/>
      <c r="G79" s="147">
        <f t="shared" si="4"/>
        <v>0</v>
      </c>
      <c r="H79" s="147">
        <f t="shared" si="5"/>
        <v>0</v>
      </c>
      <c r="I79" s="91"/>
      <c r="J79" s="103"/>
      <c r="K79" s="91"/>
    </row>
    <row r="80" spans="1:11" ht="12.75">
      <c r="A80" s="14" t="s">
        <v>31</v>
      </c>
      <c r="B80" s="145">
        <f>SUM(B81:B84)</f>
        <v>0</v>
      </c>
      <c r="C80" s="145">
        <f>SUM(C81:C84)</f>
        <v>0</v>
      </c>
      <c r="D80" s="147">
        <f>SUM(D81:D84)</f>
        <v>0</v>
      </c>
      <c r="E80" s="147">
        <f t="shared" si="3"/>
        <v>0</v>
      </c>
      <c r="F80" s="147">
        <f>SUM(F81:F84)</f>
        <v>0</v>
      </c>
      <c r="G80" s="147">
        <f t="shared" si="4"/>
        <v>0</v>
      </c>
      <c r="H80" s="147">
        <f t="shared" si="5"/>
        <v>0</v>
      </c>
      <c r="I80" s="91"/>
      <c r="J80" s="103"/>
      <c r="K80" s="91"/>
    </row>
    <row r="81" spans="1:11" ht="12.75">
      <c r="A81" s="14" t="s">
        <v>32</v>
      </c>
      <c r="B81" s="145"/>
      <c r="C81" s="145"/>
      <c r="D81" s="147"/>
      <c r="E81" s="147">
        <f t="shared" si="3"/>
        <v>0</v>
      </c>
      <c r="F81" s="147"/>
      <c r="G81" s="147">
        <f t="shared" si="4"/>
        <v>0</v>
      </c>
      <c r="H81" s="147">
        <f t="shared" si="5"/>
        <v>0</v>
      </c>
      <c r="I81" s="91"/>
      <c r="J81" s="103"/>
      <c r="K81" s="91"/>
    </row>
    <row r="82" spans="1:11" ht="12.75">
      <c r="A82" s="104" t="s">
        <v>701</v>
      </c>
      <c r="B82" s="145"/>
      <c r="C82" s="145"/>
      <c r="D82" s="147"/>
      <c r="E82" s="147">
        <f t="shared" si="3"/>
        <v>0</v>
      </c>
      <c r="F82" s="147"/>
      <c r="G82" s="147">
        <f t="shared" si="4"/>
        <v>0</v>
      </c>
      <c r="H82" s="147">
        <f t="shared" si="5"/>
        <v>0</v>
      </c>
      <c r="I82" s="91"/>
      <c r="J82" s="103"/>
      <c r="K82" s="91"/>
    </row>
    <row r="83" spans="1:11" ht="12.75">
      <c r="A83" s="104" t="s">
        <v>702</v>
      </c>
      <c r="B83" s="145"/>
      <c r="C83" s="145"/>
      <c r="D83" s="147"/>
      <c r="E83" s="147">
        <f t="shared" si="3"/>
        <v>0</v>
      </c>
      <c r="F83" s="147"/>
      <c r="G83" s="147">
        <f t="shared" si="4"/>
        <v>0</v>
      </c>
      <c r="H83" s="147">
        <f t="shared" si="5"/>
        <v>0</v>
      </c>
      <c r="I83" s="91"/>
      <c r="J83" s="103"/>
      <c r="K83" s="91"/>
    </row>
    <row r="84" spans="1:11" ht="12.75">
      <c r="A84" s="15" t="s">
        <v>703</v>
      </c>
      <c r="B84" s="145"/>
      <c r="C84" s="145"/>
      <c r="D84" s="147"/>
      <c r="E84" s="147">
        <f t="shared" si="3"/>
        <v>0</v>
      </c>
      <c r="F84" s="147"/>
      <c r="G84" s="147">
        <f t="shared" si="4"/>
        <v>0</v>
      </c>
      <c r="H84" s="147">
        <f t="shared" si="5"/>
        <v>0</v>
      </c>
      <c r="I84" s="91"/>
      <c r="J84" s="103"/>
      <c r="K84" s="91"/>
    </row>
    <row r="85" spans="1:11" ht="12.75">
      <c r="A85" s="105" t="s">
        <v>55</v>
      </c>
      <c r="B85" s="145">
        <f>B140</f>
        <v>108079170</v>
      </c>
      <c r="C85" s="145">
        <f>C140</f>
        <v>108079170</v>
      </c>
      <c r="D85" s="147">
        <f>D140</f>
        <v>16122020.59</v>
      </c>
      <c r="E85" s="147">
        <f aca="true" t="shared" si="6" ref="E85:E94">IF(C85&gt;0,D85/C85,0)*100</f>
        <v>14.91686195406571</v>
      </c>
      <c r="F85" s="147">
        <f>F140</f>
        <v>38114554</v>
      </c>
      <c r="G85" s="147">
        <f aca="true" t="shared" si="7" ref="G85:G94">IF(C85&gt;0,F85/C85,0)*100</f>
        <v>35.265402204698646</v>
      </c>
      <c r="H85" s="147">
        <f aca="true" t="shared" si="8" ref="H85:H94">C85-F85</f>
        <v>69964616</v>
      </c>
      <c r="I85" s="91"/>
      <c r="J85" s="103"/>
      <c r="K85" s="91"/>
    </row>
    <row r="86" spans="1:11" ht="12.75">
      <c r="A86" s="106" t="s">
        <v>56</v>
      </c>
      <c r="B86" s="149">
        <f>B85+B21</f>
        <v>1249055000</v>
      </c>
      <c r="C86" s="149">
        <f>C85+C21</f>
        <v>1255904351.29</v>
      </c>
      <c r="D86" s="148">
        <f>D85+D21</f>
        <v>254905711.21999997</v>
      </c>
      <c r="E86" s="150">
        <f t="shared" si="6"/>
        <v>20.296586356928696</v>
      </c>
      <c r="F86" s="150">
        <f>F85+F21</f>
        <v>465805755.02000004</v>
      </c>
      <c r="G86" s="150">
        <f t="shared" si="7"/>
        <v>37.089269938554516</v>
      </c>
      <c r="H86" s="150">
        <f t="shared" si="8"/>
        <v>790098596.27</v>
      </c>
      <c r="I86" s="91"/>
      <c r="J86" s="103"/>
      <c r="K86" s="91"/>
    </row>
    <row r="87" spans="1:11" ht="12.75">
      <c r="A87" s="107" t="s">
        <v>331</v>
      </c>
      <c r="B87" s="146">
        <f>B88+B91</f>
        <v>0</v>
      </c>
      <c r="C87" s="146">
        <f>C88+C91</f>
        <v>0</v>
      </c>
      <c r="D87" s="148">
        <f>D88+D91</f>
        <v>0</v>
      </c>
      <c r="E87" s="148">
        <f t="shared" si="6"/>
        <v>0</v>
      </c>
      <c r="F87" s="148">
        <f>F88+F91</f>
        <v>0</v>
      </c>
      <c r="G87" s="147">
        <f t="shared" si="7"/>
        <v>0</v>
      </c>
      <c r="H87" s="147">
        <f t="shared" si="8"/>
        <v>0</v>
      </c>
      <c r="I87" s="91"/>
      <c r="J87" s="1"/>
      <c r="K87" s="91"/>
    </row>
    <row r="88" spans="1:11" ht="12.75">
      <c r="A88" s="108" t="s">
        <v>308</v>
      </c>
      <c r="B88" s="145">
        <f>SUM(B89:B90)</f>
        <v>0</v>
      </c>
      <c r="C88" s="145">
        <f>SUM(C89:C90)</f>
        <v>0</v>
      </c>
      <c r="D88" s="147">
        <f>SUM(D89:D90)</f>
        <v>0</v>
      </c>
      <c r="E88" s="147">
        <f t="shared" si="6"/>
        <v>0</v>
      </c>
      <c r="F88" s="147">
        <f>SUM(F89:F90)</f>
        <v>0</v>
      </c>
      <c r="G88" s="147">
        <f t="shared" si="7"/>
        <v>0</v>
      </c>
      <c r="H88" s="147">
        <f t="shared" si="8"/>
        <v>0</v>
      </c>
      <c r="I88" s="91"/>
      <c r="J88" s="1"/>
      <c r="K88" s="91"/>
    </row>
    <row r="89" spans="1:11" ht="12.75">
      <c r="A89" s="108" t="s">
        <v>33</v>
      </c>
      <c r="B89" s="145"/>
      <c r="C89" s="145"/>
      <c r="D89" s="147"/>
      <c r="E89" s="147">
        <f t="shared" si="6"/>
        <v>0</v>
      </c>
      <c r="F89" s="147"/>
      <c r="G89" s="147">
        <f t="shared" si="7"/>
        <v>0</v>
      </c>
      <c r="H89" s="147">
        <f t="shared" si="8"/>
        <v>0</v>
      </c>
      <c r="I89" s="91"/>
      <c r="J89" s="1"/>
      <c r="K89" s="91"/>
    </row>
    <row r="90" spans="1:11" ht="12.75">
      <c r="A90" s="83" t="s">
        <v>34</v>
      </c>
      <c r="B90" s="145"/>
      <c r="C90" s="145"/>
      <c r="D90" s="147"/>
      <c r="E90" s="147">
        <f t="shared" si="6"/>
        <v>0</v>
      </c>
      <c r="F90" s="147"/>
      <c r="G90" s="147">
        <f t="shared" si="7"/>
        <v>0</v>
      </c>
      <c r="H90" s="147">
        <f t="shared" si="8"/>
        <v>0</v>
      </c>
      <c r="I90" s="91"/>
      <c r="J90" s="1"/>
      <c r="K90" s="91"/>
    </row>
    <row r="91" spans="1:11" ht="12.75">
      <c r="A91" s="108" t="s">
        <v>309</v>
      </c>
      <c r="B91" s="145">
        <f>SUM(B92:B93)</f>
        <v>0</v>
      </c>
      <c r="C91" s="145">
        <f>SUM(C92:C93)</f>
        <v>0</v>
      </c>
      <c r="D91" s="147">
        <f>SUM(D92:D93)</f>
        <v>0</v>
      </c>
      <c r="E91" s="147">
        <f t="shared" si="6"/>
        <v>0</v>
      </c>
      <c r="F91" s="147">
        <f>SUM(F92:F93)</f>
        <v>0</v>
      </c>
      <c r="G91" s="147">
        <f t="shared" si="7"/>
        <v>0</v>
      </c>
      <c r="H91" s="147">
        <f t="shared" si="8"/>
        <v>0</v>
      </c>
      <c r="I91" s="91"/>
      <c r="J91" s="1"/>
      <c r="K91" s="91"/>
    </row>
    <row r="92" spans="1:11" ht="12.75">
      <c r="A92" s="108" t="s">
        <v>33</v>
      </c>
      <c r="B92" s="145"/>
      <c r="C92" s="145"/>
      <c r="D92" s="147"/>
      <c r="E92" s="147">
        <f t="shared" si="6"/>
        <v>0</v>
      </c>
      <c r="F92" s="147"/>
      <c r="G92" s="147">
        <f t="shared" si="7"/>
        <v>0</v>
      </c>
      <c r="H92" s="147">
        <f t="shared" si="8"/>
        <v>0</v>
      </c>
      <c r="I92" s="91"/>
      <c r="J92" s="1"/>
      <c r="K92" s="91"/>
    </row>
    <row r="93" spans="1:11" ht="12.75">
      <c r="A93" s="83" t="s">
        <v>34</v>
      </c>
      <c r="B93" s="151"/>
      <c r="C93" s="151"/>
      <c r="D93" s="152"/>
      <c r="E93" s="152">
        <f t="shared" si="6"/>
        <v>0</v>
      </c>
      <c r="F93" s="152"/>
      <c r="G93" s="147">
        <f t="shared" si="7"/>
        <v>0</v>
      </c>
      <c r="H93" s="147">
        <f t="shared" si="8"/>
        <v>0</v>
      </c>
      <c r="I93" s="91"/>
      <c r="J93" s="1"/>
      <c r="K93" s="91"/>
    </row>
    <row r="94" spans="1:11" ht="12.75">
      <c r="A94" s="106" t="s">
        <v>35</v>
      </c>
      <c r="B94" s="149">
        <f>B86+B87</f>
        <v>1249055000</v>
      </c>
      <c r="C94" s="145">
        <f>C86+C87</f>
        <v>1255904351.29</v>
      </c>
      <c r="D94" s="147">
        <f>D86+D87</f>
        <v>254905711.21999997</v>
      </c>
      <c r="E94" s="147">
        <f t="shared" si="6"/>
        <v>20.296586356928696</v>
      </c>
      <c r="F94" s="150">
        <f>F86+F87</f>
        <v>465805755.02000004</v>
      </c>
      <c r="G94" s="150">
        <f t="shared" si="7"/>
        <v>37.089269938554516</v>
      </c>
      <c r="H94" s="150">
        <f t="shared" si="8"/>
        <v>790098596.27</v>
      </c>
      <c r="I94" s="91"/>
      <c r="J94" s="111"/>
      <c r="K94" s="91"/>
    </row>
    <row r="95" spans="1:11" ht="12.75">
      <c r="A95" s="112" t="s">
        <v>573</v>
      </c>
      <c r="B95" s="153"/>
      <c r="C95" s="153"/>
      <c r="D95" s="154"/>
      <c r="E95" s="154"/>
      <c r="F95" s="155">
        <f>IF(A12="Período: 6º Bimestre",IF(F94&lt;E127,E127-F94,0),IF(F94&lt;H127,H127-F94,0))</f>
        <v>0</v>
      </c>
      <c r="G95" s="154"/>
      <c r="H95" s="154"/>
      <c r="I95" s="91"/>
      <c r="J95" s="1"/>
      <c r="K95" s="91"/>
    </row>
    <row r="96" spans="1:11" ht="12.75">
      <c r="A96" s="112" t="s">
        <v>574</v>
      </c>
      <c r="B96" s="156">
        <f>B95+B94</f>
        <v>1249055000</v>
      </c>
      <c r="C96" s="156">
        <f>C95+C94</f>
        <v>1255904351.29</v>
      </c>
      <c r="D96" s="157">
        <f>D95+D94</f>
        <v>254905711.21999997</v>
      </c>
      <c r="E96" s="157">
        <f>IF(C96&gt;0,D96/C96,0)*100</f>
        <v>20.296586356928696</v>
      </c>
      <c r="F96" s="157">
        <f>F95+F94</f>
        <v>465805755.02000004</v>
      </c>
      <c r="G96" s="157">
        <f>IF(C96&gt;0,F96/C96,0)*100</f>
        <v>37.089269938554516</v>
      </c>
      <c r="H96" s="157">
        <f>C96-F96</f>
        <v>790098596.27</v>
      </c>
      <c r="I96" s="91"/>
      <c r="J96" s="1"/>
      <c r="K96" s="91"/>
    </row>
    <row r="97" spans="1:11" ht="12.75">
      <c r="A97" s="113" t="s">
        <v>643</v>
      </c>
      <c r="B97" s="156">
        <f>SUM(B98:B99)</f>
        <v>0</v>
      </c>
      <c r="C97" s="156">
        <f>SUM(C98:C99)</f>
        <v>73671718.87</v>
      </c>
      <c r="D97" s="154"/>
      <c r="E97" s="154"/>
      <c r="F97" s="156">
        <f>SUM(F98:F99)</f>
        <v>73671718.87</v>
      </c>
      <c r="G97" s="154"/>
      <c r="H97" s="154"/>
      <c r="I97" s="91"/>
      <c r="J97" s="1"/>
      <c r="K97" s="91"/>
    </row>
    <row r="98" spans="1:11" ht="12.75">
      <c r="A98" s="114" t="s">
        <v>644</v>
      </c>
      <c r="B98" s="156"/>
      <c r="C98" s="156"/>
      <c r="D98" s="154"/>
      <c r="E98" s="154"/>
      <c r="F98" s="154"/>
      <c r="G98" s="154"/>
      <c r="H98" s="154"/>
      <c r="I98" s="91"/>
      <c r="J98" s="1"/>
      <c r="K98" s="91"/>
    </row>
    <row r="99" spans="1:11" ht="12.75">
      <c r="A99" s="115" t="s">
        <v>859</v>
      </c>
      <c r="B99" s="158"/>
      <c r="C99" s="159">
        <v>73671718.87</v>
      </c>
      <c r="D99" s="160"/>
      <c r="E99" s="160"/>
      <c r="F99" s="159">
        <v>73671718.87</v>
      </c>
      <c r="G99" s="160"/>
      <c r="H99" s="160"/>
      <c r="I99" s="91"/>
      <c r="J99" s="1"/>
      <c r="K99" s="91"/>
    </row>
    <row r="100" spans="1:11" ht="12.75">
      <c r="A100" s="118"/>
      <c r="B100" s="1"/>
      <c r="C100" s="1"/>
      <c r="D100" s="1"/>
      <c r="E100" s="1"/>
      <c r="F100" s="1"/>
      <c r="G100" s="1"/>
      <c r="H100" s="1"/>
      <c r="I100" s="91"/>
      <c r="J100" s="1"/>
      <c r="K100" s="91"/>
    </row>
    <row r="101" spans="1:11" ht="12.75">
      <c r="A101" s="118"/>
      <c r="B101" s="1"/>
      <c r="C101" s="1"/>
      <c r="D101" s="1"/>
      <c r="E101" s="1"/>
      <c r="F101" s="1"/>
      <c r="G101" s="1"/>
      <c r="H101" s="1"/>
      <c r="I101" s="91"/>
      <c r="J101" s="1"/>
      <c r="K101" s="91"/>
    </row>
    <row r="102" spans="1:11" ht="12.75">
      <c r="A102" s="118"/>
      <c r="B102" s="1"/>
      <c r="C102" s="1"/>
      <c r="D102" s="1"/>
      <c r="E102" s="1"/>
      <c r="F102" s="1"/>
      <c r="G102" s="1"/>
      <c r="H102" s="1"/>
      <c r="I102" s="91"/>
      <c r="J102" s="1"/>
      <c r="K102" s="91"/>
    </row>
    <row r="103" spans="1:11" ht="12.75">
      <c r="A103" s="118"/>
      <c r="B103" s="1"/>
      <c r="C103" s="1"/>
      <c r="D103" s="1"/>
      <c r="E103" s="1"/>
      <c r="F103" s="1"/>
      <c r="G103" s="1"/>
      <c r="H103" s="1"/>
      <c r="I103" s="91"/>
      <c r="J103" s="1"/>
      <c r="K103" s="91"/>
    </row>
    <row r="104" ht="12.75"/>
    <row r="105" spans="1:11" ht="14.25" customHeight="1">
      <c r="A105" s="119"/>
      <c r="B105" s="98" t="s">
        <v>103</v>
      </c>
      <c r="C105" s="98" t="s">
        <v>103</v>
      </c>
      <c r="D105" s="785" t="s">
        <v>104</v>
      </c>
      <c r="E105" s="786"/>
      <c r="F105" s="120" t="s">
        <v>107</v>
      </c>
      <c r="G105" s="785" t="s">
        <v>105</v>
      </c>
      <c r="H105" s="787"/>
      <c r="I105" s="120" t="s">
        <v>107</v>
      </c>
      <c r="J105" s="788" t="s">
        <v>815</v>
      </c>
      <c r="K105" s="782" t="s">
        <v>590</v>
      </c>
    </row>
    <row r="106" spans="1:11" ht="28.5" customHeight="1">
      <c r="A106" s="121" t="s">
        <v>106</v>
      </c>
      <c r="B106" s="122" t="s">
        <v>74</v>
      </c>
      <c r="C106" s="122" t="s">
        <v>75</v>
      </c>
      <c r="D106" s="123" t="str">
        <f>CONCATENATE("No ",B12)</f>
        <v>No Bimestre</v>
      </c>
      <c r="E106" s="124" t="str">
        <f>F19</f>
        <v>Até o  Bimestre</v>
      </c>
      <c r="F106" s="123"/>
      <c r="G106" s="123" t="str">
        <f>CONCATENATE("No ",B12)</f>
        <v>No Bimestre</v>
      </c>
      <c r="H106" s="124" t="str">
        <f>F19</f>
        <v>Até o  Bimestre</v>
      </c>
      <c r="I106" s="123"/>
      <c r="J106" s="789"/>
      <c r="K106" s="783"/>
    </row>
    <row r="107" spans="1:11" ht="23.25" customHeight="1">
      <c r="A107" s="125"/>
      <c r="B107" s="126" t="s">
        <v>108</v>
      </c>
      <c r="C107" s="126" t="s">
        <v>109</v>
      </c>
      <c r="D107" s="126"/>
      <c r="E107" s="126" t="s">
        <v>190</v>
      </c>
      <c r="F107" s="127" t="s">
        <v>589</v>
      </c>
      <c r="G107" s="128"/>
      <c r="H107" s="128" t="s">
        <v>111</v>
      </c>
      <c r="I107" s="127" t="s">
        <v>588</v>
      </c>
      <c r="J107" s="128" t="s">
        <v>326</v>
      </c>
      <c r="K107" s="784"/>
    </row>
    <row r="108" spans="1:11" ht="12.75">
      <c r="A108" s="3" t="s">
        <v>575</v>
      </c>
      <c r="B108" s="147">
        <f>B109+B113+B117</f>
        <v>1065931105</v>
      </c>
      <c r="C108" s="147">
        <f>C109+C113+C117</f>
        <v>1145390175.1599998</v>
      </c>
      <c r="D108" s="147">
        <f>D109+D113+D117</f>
        <v>119515357.64</v>
      </c>
      <c r="E108" s="147">
        <f>E109+E113+E117</f>
        <v>502278824.56</v>
      </c>
      <c r="F108" s="147">
        <f aca="true" t="shared" si="9" ref="F108:F116">C108-E108</f>
        <v>643111350.5999999</v>
      </c>
      <c r="G108" s="161">
        <f>G109+G113+G117</f>
        <v>168235096.73999998</v>
      </c>
      <c r="H108" s="147">
        <f>H109+H113+H117</f>
        <v>298684193.96000004</v>
      </c>
      <c r="I108" s="145">
        <f aca="true" t="shared" si="10" ref="I108:I116">C108-H108</f>
        <v>846705981.1999998</v>
      </c>
      <c r="J108" s="148">
        <f>J109+J113+J117</f>
        <v>250428732.1</v>
      </c>
      <c r="K108" s="162">
        <f>K109+K113+K117</f>
        <v>0</v>
      </c>
    </row>
    <row r="109" spans="1:11" ht="12.75">
      <c r="A109" s="91" t="s">
        <v>57</v>
      </c>
      <c r="B109" s="147">
        <f>SUM(B110:B112)</f>
        <v>1002824945</v>
      </c>
      <c r="C109" s="147">
        <f>SUM(C110:C112)</f>
        <v>1045620155.3</v>
      </c>
      <c r="D109" s="147">
        <f>SUM(D110:D112)</f>
        <v>114504647.16</v>
      </c>
      <c r="E109" s="147">
        <f>SUM(E110:E112)</f>
        <v>475263662.35</v>
      </c>
      <c r="F109" s="147">
        <f t="shared" si="9"/>
        <v>570356492.9499999</v>
      </c>
      <c r="G109" s="161">
        <f>SUM(G110:G112)</f>
        <v>161040129.57999998</v>
      </c>
      <c r="H109" s="147">
        <f>SUM(H110:H112)</f>
        <v>288436585.42</v>
      </c>
      <c r="I109" s="145">
        <f t="shared" si="10"/>
        <v>757183569.8799999</v>
      </c>
      <c r="J109" s="147">
        <f>SUM(J110:J112)</f>
        <v>241025468.62</v>
      </c>
      <c r="K109" s="162">
        <f>SUM(K110:K112)</f>
        <v>0</v>
      </c>
    </row>
    <row r="110" spans="1:11" s="43" customFormat="1" ht="12.75">
      <c r="A110" s="91" t="s">
        <v>58</v>
      </c>
      <c r="B110" s="147">
        <v>473792200</v>
      </c>
      <c r="C110" s="147">
        <v>477842010.93</v>
      </c>
      <c r="D110" s="147">
        <v>73714612.04</v>
      </c>
      <c r="E110" s="147">
        <v>148708138.07</v>
      </c>
      <c r="F110" s="147">
        <f t="shared" si="9"/>
        <v>329133872.86</v>
      </c>
      <c r="G110" s="147">
        <v>73813260.39</v>
      </c>
      <c r="H110" s="147">
        <v>148427056.78</v>
      </c>
      <c r="I110" s="145">
        <f t="shared" si="10"/>
        <v>329414954.15</v>
      </c>
      <c r="J110" s="147">
        <v>115831200.68</v>
      </c>
      <c r="K110" s="162"/>
    </row>
    <row r="111" spans="1:11" ht="12.75">
      <c r="A111" s="91" t="s">
        <v>59</v>
      </c>
      <c r="B111" s="147">
        <v>6810100</v>
      </c>
      <c r="C111" s="147">
        <v>6810100</v>
      </c>
      <c r="D111" s="147">
        <v>735243.69</v>
      </c>
      <c r="E111" s="147">
        <v>1485493.33</v>
      </c>
      <c r="F111" s="147">
        <f t="shared" si="9"/>
        <v>5324606.67</v>
      </c>
      <c r="G111" s="147">
        <v>735243.69</v>
      </c>
      <c r="H111" s="147">
        <v>1485493.33</v>
      </c>
      <c r="I111" s="145">
        <f t="shared" si="10"/>
        <v>5324606.67</v>
      </c>
      <c r="J111" s="147">
        <v>1485493.33</v>
      </c>
      <c r="K111" s="162"/>
    </row>
    <row r="112" spans="1:11" ht="12.75">
      <c r="A112" s="91" t="s">
        <v>60</v>
      </c>
      <c r="B112" s="147">
        <v>522222645</v>
      </c>
      <c r="C112" s="147">
        <v>560968044.37</v>
      </c>
      <c r="D112" s="147">
        <v>40054791.43</v>
      </c>
      <c r="E112" s="147">
        <v>325070030.95</v>
      </c>
      <c r="F112" s="147">
        <f t="shared" si="9"/>
        <v>235898013.42000002</v>
      </c>
      <c r="G112" s="147">
        <v>86491625.5</v>
      </c>
      <c r="H112" s="147">
        <v>138524035.31</v>
      </c>
      <c r="I112" s="145">
        <f t="shared" si="10"/>
        <v>422444009.06</v>
      </c>
      <c r="J112" s="147">
        <v>123708774.61</v>
      </c>
      <c r="K112" s="162"/>
    </row>
    <row r="113" spans="1:11" s="43" customFormat="1" ht="12.75">
      <c r="A113" s="91" t="s">
        <v>61</v>
      </c>
      <c r="B113" s="147">
        <f>SUM(B114:B116)</f>
        <v>54143160</v>
      </c>
      <c r="C113" s="147">
        <f>SUM(C114:C116)</f>
        <v>90807019.86</v>
      </c>
      <c r="D113" s="147">
        <f>SUM(D114:D116)</f>
        <v>5010710.48</v>
      </c>
      <c r="E113" s="147">
        <f>SUM(E114:E116)</f>
        <v>27015162.21</v>
      </c>
      <c r="F113" s="147">
        <f t="shared" si="9"/>
        <v>63791857.65</v>
      </c>
      <c r="G113" s="147">
        <f>SUM(G114:G116)</f>
        <v>7194967.16</v>
      </c>
      <c r="H113" s="147">
        <f>SUM(H114:H116)</f>
        <v>10247608.54</v>
      </c>
      <c r="I113" s="145">
        <f t="shared" si="10"/>
        <v>80559411.32</v>
      </c>
      <c r="J113" s="147">
        <f>SUM(J114:J116)</f>
        <v>9403263.48</v>
      </c>
      <c r="K113" s="162">
        <f>SUM(K114:K116)</f>
        <v>0</v>
      </c>
    </row>
    <row r="114" spans="1:11" ht="12.75">
      <c r="A114" s="91" t="s">
        <v>62</v>
      </c>
      <c r="B114" s="147">
        <v>45703060</v>
      </c>
      <c r="C114" s="147">
        <v>82366919.86</v>
      </c>
      <c r="D114" s="147">
        <v>4052184.46</v>
      </c>
      <c r="E114" s="147">
        <v>24876845.97</v>
      </c>
      <c r="F114" s="147">
        <f t="shared" si="9"/>
        <v>57490073.89</v>
      </c>
      <c r="G114" s="147">
        <v>6236441.14</v>
      </c>
      <c r="H114" s="147">
        <v>8109292.3</v>
      </c>
      <c r="I114" s="145">
        <f t="shared" si="10"/>
        <v>74257627.56</v>
      </c>
      <c r="J114" s="147">
        <v>7264947.24</v>
      </c>
      <c r="K114" s="162"/>
    </row>
    <row r="115" spans="1:11" ht="12.75">
      <c r="A115" s="91" t="s">
        <v>63</v>
      </c>
      <c r="B115" s="147"/>
      <c r="C115" s="147"/>
      <c r="D115" s="147"/>
      <c r="E115" s="147"/>
      <c r="F115" s="147">
        <f t="shared" si="9"/>
        <v>0</v>
      </c>
      <c r="G115" s="147"/>
      <c r="H115" s="147"/>
      <c r="I115" s="145">
        <f t="shared" si="10"/>
        <v>0</v>
      </c>
      <c r="J115" s="147"/>
      <c r="K115" s="162"/>
    </row>
    <row r="116" spans="1:11" ht="12.75">
      <c r="A116" s="91" t="s">
        <v>64</v>
      </c>
      <c r="B116" s="147">
        <v>8440100</v>
      </c>
      <c r="C116" s="147">
        <v>8440100</v>
      </c>
      <c r="D116" s="147">
        <v>958526.02</v>
      </c>
      <c r="E116" s="147">
        <v>2138316.24</v>
      </c>
      <c r="F116" s="147">
        <f t="shared" si="9"/>
        <v>6301783.76</v>
      </c>
      <c r="G116" s="147">
        <v>958526.02</v>
      </c>
      <c r="H116" s="147">
        <v>2138316.24</v>
      </c>
      <c r="I116" s="145">
        <f t="shared" si="10"/>
        <v>6301783.76</v>
      </c>
      <c r="J116" s="147">
        <v>2138316.24</v>
      </c>
      <c r="K116" s="163"/>
    </row>
    <row r="117" spans="1:11" ht="12.75" customHeight="1">
      <c r="A117" s="91" t="s">
        <v>65</v>
      </c>
      <c r="B117" s="145">
        <v>8963000</v>
      </c>
      <c r="C117" s="145">
        <v>8963000</v>
      </c>
      <c r="D117" s="164"/>
      <c r="E117" s="164"/>
      <c r="F117" s="145">
        <f>C117</f>
        <v>8963000</v>
      </c>
      <c r="G117" s="164"/>
      <c r="H117" s="164"/>
      <c r="I117" s="145">
        <f>C117</f>
        <v>8963000</v>
      </c>
      <c r="J117" s="164"/>
      <c r="K117" s="164"/>
    </row>
    <row r="118" spans="1:11" ht="12.75">
      <c r="A118" s="91" t="s">
        <v>576</v>
      </c>
      <c r="B118" s="145">
        <f>B212</f>
        <v>105458095</v>
      </c>
      <c r="C118" s="145">
        <f>C212</f>
        <v>106520095</v>
      </c>
      <c r="D118" s="145">
        <f>D212</f>
        <v>16384659.629999999</v>
      </c>
      <c r="E118" s="145">
        <f>E212</f>
        <v>36525876.53</v>
      </c>
      <c r="F118" s="145">
        <f aca="true" t="shared" si="11" ref="F118:F127">C118-E118</f>
        <v>69994218.47</v>
      </c>
      <c r="G118" s="145">
        <f>G212</f>
        <v>17163723.75</v>
      </c>
      <c r="H118" s="145">
        <f>H212</f>
        <v>32182012.590000004</v>
      </c>
      <c r="I118" s="145">
        <f>I212</f>
        <v>74338082.41</v>
      </c>
      <c r="J118" s="145">
        <f>J212</f>
        <v>24072422.93</v>
      </c>
      <c r="K118" s="147">
        <f>K212</f>
        <v>0</v>
      </c>
    </row>
    <row r="119" spans="1:11" ht="12.75">
      <c r="A119" s="129" t="s">
        <v>577</v>
      </c>
      <c r="B119" s="149">
        <f>B108+B118</f>
        <v>1171389200</v>
      </c>
      <c r="C119" s="149">
        <f>C108+C118</f>
        <v>1251910270.1599998</v>
      </c>
      <c r="D119" s="149">
        <f>D108+D118</f>
        <v>135900017.27</v>
      </c>
      <c r="E119" s="149">
        <f>E108+E118</f>
        <v>538804701.09</v>
      </c>
      <c r="F119" s="149">
        <f t="shared" si="11"/>
        <v>713105569.0699998</v>
      </c>
      <c r="G119" s="149">
        <f>G108+G118</f>
        <v>185398820.48999998</v>
      </c>
      <c r="H119" s="149">
        <f>H108+H118</f>
        <v>330866206.5500001</v>
      </c>
      <c r="I119" s="149">
        <f aca="true" t="shared" si="12" ref="I119:I127">C119-H119</f>
        <v>921044063.6099998</v>
      </c>
      <c r="J119" s="149">
        <f>J108+J118</f>
        <v>274501155.03</v>
      </c>
      <c r="K119" s="150">
        <f>K108+K118</f>
        <v>0</v>
      </c>
    </row>
    <row r="120" spans="1:11" ht="12.75">
      <c r="A120" s="107" t="s">
        <v>578</v>
      </c>
      <c r="B120" s="146">
        <f>B121+B124</f>
        <v>0</v>
      </c>
      <c r="C120" s="146">
        <f>C121+C124</f>
        <v>0</v>
      </c>
      <c r="D120" s="146">
        <f>D121+D124</f>
        <v>0</v>
      </c>
      <c r="E120" s="146">
        <f>E121+E124</f>
        <v>0</v>
      </c>
      <c r="F120" s="146">
        <f t="shared" si="11"/>
        <v>0</v>
      </c>
      <c r="G120" s="146">
        <f>G121+G124</f>
        <v>0</v>
      </c>
      <c r="H120" s="146">
        <f>H121+H124</f>
        <v>0</v>
      </c>
      <c r="I120" s="146">
        <f t="shared" si="12"/>
        <v>0</v>
      </c>
      <c r="J120" s="146">
        <f>J121+J124</f>
        <v>0</v>
      </c>
      <c r="K120" s="147">
        <f>K121+K124</f>
        <v>0</v>
      </c>
    </row>
    <row r="121" spans="1:11" ht="12.75">
      <c r="A121" s="108" t="s">
        <v>2</v>
      </c>
      <c r="B121" s="145">
        <f>SUM(B122:B123)</f>
        <v>0</v>
      </c>
      <c r="C121" s="145">
        <f>SUM(C122:C123)</f>
        <v>0</v>
      </c>
      <c r="D121" s="145">
        <f>SUM(D122:D123)</f>
        <v>0</v>
      </c>
      <c r="E121" s="147">
        <f>SUM(E122:E123)</f>
        <v>0</v>
      </c>
      <c r="F121" s="145">
        <f t="shared" si="11"/>
        <v>0</v>
      </c>
      <c r="G121" s="145">
        <f>SUM(G122:G123)</f>
        <v>0</v>
      </c>
      <c r="H121" s="147">
        <f>SUM(H122:H123)</f>
        <v>0</v>
      </c>
      <c r="I121" s="145">
        <f t="shared" si="12"/>
        <v>0</v>
      </c>
      <c r="J121" s="147">
        <f>SUM(J122:J123)</f>
        <v>0</v>
      </c>
      <c r="K121" s="147">
        <f>SUM(K122:K123)</f>
        <v>0</v>
      </c>
    </row>
    <row r="122" spans="1:11" ht="12.75">
      <c r="A122" s="108" t="s">
        <v>0</v>
      </c>
      <c r="B122" s="145"/>
      <c r="C122" s="145"/>
      <c r="D122" s="145"/>
      <c r="E122" s="147"/>
      <c r="F122" s="145">
        <f t="shared" si="11"/>
        <v>0</v>
      </c>
      <c r="G122" s="145"/>
      <c r="H122" s="147"/>
      <c r="I122" s="145">
        <f t="shared" si="12"/>
        <v>0</v>
      </c>
      <c r="J122" s="147"/>
      <c r="K122" s="147"/>
    </row>
    <row r="123" spans="1:11" ht="12.75">
      <c r="A123" s="108" t="s">
        <v>1</v>
      </c>
      <c r="B123" s="145"/>
      <c r="C123" s="145"/>
      <c r="D123" s="145"/>
      <c r="E123" s="147"/>
      <c r="F123" s="145">
        <f t="shared" si="11"/>
        <v>0</v>
      </c>
      <c r="G123" s="145"/>
      <c r="H123" s="147"/>
      <c r="I123" s="145">
        <f t="shared" si="12"/>
        <v>0</v>
      </c>
      <c r="J123" s="147"/>
      <c r="K123" s="147"/>
    </row>
    <row r="124" spans="1:11" ht="12.75">
      <c r="A124" s="108" t="s">
        <v>3</v>
      </c>
      <c r="B124" s="145">
        <f>SUM(B125:B126)</f>
        <v>0</v>
      </c>
      <c r="C124" s="145">
        <f>SUM(C125:C126)</f>
        <v>0</v>
      </c>
      <c r="D124" s="145">
        <f>SUM(D125:D126)</f>
        <v>0</v>
      </c>
      <c r="E124" s="147">
        <f>SUM(E125:E126)</f>
        <v>0</v>
      </c>
      <c r="F124" s="145">
        <f t="shared" si="11"/>
        <v>0</v>
      </c>
      <c r="G124" s="145">
        <f>SUM(G125:G126)</f>
        <v>0</v>
      </c>
      <c r="H124" s="147">
        <f>SUM(H125:H126)</f>
        <v>0</v>
      </c>
      <c r="I124" s="145">
        <f t="shared" si="12"/>
        <v>0</v>
      </c>
      <c r="J124" s="147">
        <f>SUM(J125:J126)</f>
        <v>0</v>
      </c>
      <c r="K124" s="147">
        <f>SUM(K125:K126)</f>
        <v>0</v>
      </c>
    </row>
    <row r="125" spans="1:11" ht="12.75">
      <c r="A125" s="108" t="s">
        <v>0</v>
      </c>
      <c r="B125" s="145"/>
      <c r="C125" s="145"/>
      <c r="D125" s="145"/>
      <c r="E125" s="147"/>
      <c r="F125" s="145">
        <f t="shared" si="11"/>
        <v>0</v>
      </c>
      <c r="G125" s="145"/>
      <c r="H125" s="147"/>
      <c r="I125" s="145">
        <f t="shared" si="12"/>
        <v>0</v>
      </c>
      <c r="J125" s="147"/>
      <c r="K125" s="147"/>
    </row>
    <row r="126" spans="1:11" ht="12.75">
      <c r="A126" s="130" t="s">
        <v>1</v>
      </c>
      <c r="B126" s="151"/>
      <c r="C126" s="151"/>
      <c r="D126" s="151"/>
      <c r="E126" s="152"/>
      <c r="F126" s="151">
        <f t="shared" si="11"/>
        <v>0</v>
      </c>
      <c r="G126" s="151"/>
      <c r="H126" s="152"/>
      <c r="I126" s="151">
        <f t="shared" si="12"/>
        <v>0</v>
      </c>
      <c r="J126" s="152"/>
      <c r="K126" s="152"/>
    </row>
    <row r="127" spans="1:11" ht="12.75">
      <c r="A127" s="131" t="s">
        <v>579</v>
      </c>
      <c r="B127" s="151">
        <f>B119+B120</f>
        <v>1171389200</v>
      </c>
      <c r="C127" s="151">
        <f>C119+C120</f>
        <v>1251910270.1599998</v>
      </c>
      <c r="D127" s="151">
        <f>D119+D120</f>
        <v>135900017.27</v>
      </c>
      <c r="E127" s="151">
        <f>E119+E120</f>
        <v>538804701.09</v>
      </c>
      <c r="F127" s="151">
        <f t="shared" si="11"/>
        <v>713105569.0699998</v>
      </c>
      <c r="G127" s="151">
        <f>G119+G120</f>
        <v>185398820.48999998</v>
      </c>
      <c r="H127" s="151">
        <f>H119+H120</f>
        <v>330866206.5500001</v>
      </c>
      <c r="I127" s="151">
        <f t="shared" si="12"/>
        <v>921044063.6099998</v>
      </c>
      <c r="J127" s="151">
        <f>J119+J120</f>
        <v>274501155.03</v>
      </c>
      <c r="K127" s="152">
        <f>K119+K120</f>
        <v>0</v>
      </c>
    </row>
    <row r="128" spans="1:11" ht="12.75">
      <c r="A128" s="131" t="s">
        <v>580</v>
      </c>
      <c r="B128" s="164"/>
      <c r="C128" s="164"/>
      <c r="D128" s="164"/>
      <c r="E128" s="149">
        <f>IF(F94&gt;E127,F94-E127,0)</f>
        <v>0</v>
      </c>
      <c r="F128" s="164"/>
      <c r="G128" s="164"/>
      <c r="H128" s="151">
        <f>IF(F94&gt;H127,F94-H127,0)</f>
        <v>134939548.46999997</v>
      </c>
      <c r="I128" s="164"/>
      <c r="J128" s="151">
        <f>IF(F94&gt;J127,F94-J127,0)</f>
        <v>191304599.99000007</v>
      </c>
      <c r="K128" s="165"/>
    </row>
    <row r="129" spans="1:11" ht="12.75">
      <c r="A129" s="131" t="s">
        <v>581</v>
      </c>
      <c r="B129" s="151">
        <f>B127+B128</f>
        <v>1171389200</v>
      </c>
      <c r="C129" s="151">
        <f>C127+C128</f>
        <v>1251910270.1599998</v>
      </c>
      <c r="D129" s="151">
        <f>D127+D128</f>
        <v>135900017.27</v>
      </c>
      <c r="E129" s="151">
        <f>E127+E128</f>
        <v>538804701.09</v>
      </c>
      <c r="F129" s="149"/>
      <c r="G129" s="151">
        <f>G127+G128</f>
        <v>185398820.48999998</v>
      </c>
      <c r="H129" s="151">
        <f>H127+H128</f>
        <v>465805755.02000004</v>
      </c>
      <c r="I129" s="149"/>
      <c r="J129" s="151">
        <f>J127+J128</f>
        <v>465805755.02000004</v>
      </c>
      <c r="K129" s="152">
        <f>K127+K128</f>
        <v>0</v>
      </c>
    </row>
    <row r="130" spans="1:11" ht="12.75">
      <c r="A130" s="91" t="s">
        <v>645</v>
      </c>
      <c r="B130" s="145">
        <v>77665800</v>
      </c>
      <c r="C130" s="145">
        <v>77665800</v>
      </c>
      <c r="D130" s="164"/>
      <c r="E130" s="164"/>
      <c r="F130" s="145">
        <f>C130</f>
        <v>77665800</v>
      </c>
      <c r="G130" s="164"/>
      <c r="H130" s="164"/>
      <c r="I130" s="145">
        <f>C130</f>
        <v>77665800</v>
      </c>
      <c r="J130" s="164"/>
      <c r="K130" s="165"/>
    </row>
    <row r="131" spans="1:11" ht="12.75">
      <c r="A131" s="790" t="s">
        <v>1062</v>
      </c>
      <c r="B131" s="790"/>
      <c r="C131" s="790"/>
      <c r="D131" s="790"/>
      <c r="E131" s="790"/>
      <c r="F131" s="790"/>
      <c r="G131" s="790"/>
      <c r="H131" s="790"/>
      <c r="I131" s="790"/>
      <c r="J131" s="790"/>
      <c r="K131" s="791"/>
    </row>
    <row r="132" spans="1:10" ht="12.75">
      <c r="A132" s="70" t="s">
        <v>468</v>
      </c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</row>
    <row r="134" spans="1:1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</row>
    <row r="135" spans="1:1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</row>
    <row r="136" spans="1:10" ht="12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</row>
    <row r="137" spans="1:8" ht="25.5">
      <c r="A137" s="92"/>
      <c r="B137" s="794" t="s">
        <v>467</v>
      </c>
      <c r="C137" s="93" t="s">
        <v>197</v>
      </c>
      <c r="D137" s="797" t="s">
        <v>72</v>
      </c>
      <c r="E137" s="798"/>
      <c r="F137" s="798"/>
      <c r="G137" s="798"/>
      <c r="H137" s="94" t="s">
        <v>107</v>
      </c>
    </row>
    <row r="138" spans="1:8" ht="12.75">
      <c r="A138" s="132" t="s">
        <v>582</v>
      </c>
      <c r="B138" s="795"/>
      <c r="C138" s="97"/>
      <c r="D138" s="98" t="str">
        <f>D106</f>
        <v>No Bimestre</v>
      </c>
      <c r="E138" s="99" t="s">
        <v>77</v>
      </c>
      <c r="F138" s="98" t="str">
        <f>E106</f>
        <v>Até o  Bimestre</v>
      </c>
      <c r="G138" s="94" t="s">
        <v>77</v>
      </c>
      <c r="H138" s="94"/>
    </row>
    <row r="139" spans="1:8" ht="12.75">
      <c r="A139" s="60"/>
      <c r="B139" s="796"/>
      <c r="C139" s="37" t="s">
        <v>79</v>
      </c>
      <c r="D139" s="36" t="s">
        <v>80</v>
      </c>
      <c r="E139" s="101" t="s">
        <v>81</v>
      </c>
      <c r="F139" s="36" t="s">
        <v>100</v>
      </c>
      <c r="G139" s="36" t="s">
        <v>101</v>
      </c>
      <c r="H139" s="36" t="s">
        <v>102</v>
      </c>
    </row>
    <row r="140" spans="1:8" ht="12.75">
      <c r="A140" s="133" t="s">
        <v>55</v>
      </c>
      <c r="B140" s="145">
        <f>B141+B181</f>
        <v>108079170</v>
      </c>
      <c r="C140" s="146">
        <f>C141+C181</f>
        <v>108079170</v>
      </c>
      <c r="D140" s="147">
        <f>D141+D181</f>
        <v>16122020.59</v>
      </c>
      <c r="E140" s="148">
        <f aca="true" t="shared" si="13" ref="E140:E171">IF(C140&gt;0,D140/C140,0)*100</f>
        <v>14.91686195406571</v>
      </c>
      <c r="F140" s="148">
        <f>F141+F181</f>
        <v>38114554</v>
      </c>
      <c r="G140" s="148">
        <f aca="true" t="shared" si="14" ref="G140:G171">IF(C140&gt;0,F140/C140,0)*100</f>
        <v>35.265402204698646</v>
      </c>
      <c r="H140" s="147">
        <f aca="true" t="shared" si="15" ref="H140:H171">C140-F140</f>
        <v>69964616</v>
      </c>
    </row>
    <row r="141" spans="1:8" ht="12.75">
      <c r="A141" s="14" t="s">
        <v>7</v>
      </c>
      <c r="B141" s="145">
        <f>B142+B146+B151+B159+B160+B161+B167+B176+B182+B185+B189+B190+B199</f>
        <v>108079170</v>
      </c>
      <c r="C141" s="145">
        <f>C142+C146+C151+C159+C160+C161+C167+C176+C182+C185+C189+C190+C199</f>
        <v>108079170</v>
      </c>
      <c r="D141" s="147">
        <f>D142+D146+D151+D159+D160+D161+D167+D176+D182+D185+D189+D190+D199</f>
        <v>16122020.59</v>
      </c>
      <c r="E141" s="147">
        <f t="shared" si="13"/>
        <v>14.91686195406571</v>
      </c>
      <c r="F141" s="147">
        <f>F142+F146+F151+F159+F160+F161+F167+F176+F182+F185+F189+F190+F199</f>
        <v>38114554</v>
      </c>
      <c r="G141" s="147">
        <f t="shared" si="14"/>
        <v>35.265402204698646</v>
      </c>
      <c r="H141" s="147">
        <f t="shared" si="15"/>
        <v>69964616</v>
      </c>
    </row>
    <row r="142" spans="1:8" ht="12.75">
      <c r="A142" s="134" t="s">
        <v>711</v>
      </c>
      <c r="B142" s="145">
        <f>SUM(B143:B145)</f>
        <v>700000</v>
      </c>
      <c r="C142" s="145">
        <f>SUM(C143:C145)</f>
        <v>700000</v>
      </c>
      <c r="D142" s="147">
        <f>SUM(D143:D145)</f>
        <v>0</v>
      </c>
      <c r="E142" s="147">
        <f t="shared" si="13"/>
        <v>0</v>
      </c>
      <c r="F142" s="147">
        <f>SUM(F143:F145)</f>
        <v>0</v>
      </c>
      <c r="G142" s="147">
        <f t="shared" si="14"/>
        <v>0</v>
      </c>
      <c r="H142" s="147">
        <f t="shared" si="15"/>
        <v>700000</v>
      </c>
    </row>
    <row r="143" spans="1:8" ht="12.75">
      <c r="A143" s="14" t="s">
        <v>8</v>
      </c>
      <c r="B143" s="145"/>
      <c r="C143" s="145"/>
      <c r="D143" s="147"/>
      <c r="E143" s="147">
        <f t="shared" si="13"/>
        <v>0</v>
      </c>
      <c r="F143" s="147"/>
      <c r="G143" s="147">
        <f t="shared" si="14"/>
        <v>0</v>
      </c>
      <c r="H143" s="147">
        <f t="shared" si="15"/>
        <v>0</v>
      </c>
    </row>
    <row r="144" spans="1:8" ht="12.75">
      <c r="A144" s="14" t="s">
        <v>9</v>
      </c>
      <c r="B144" s="145">
        <v>700000</v>
      </c>
      <c r="C144" s="145">
        <v>700000</v>
      </c>
      <c r="D144" s="147">
        <v>0</v>
      </c>
      <c r="E144" s="147">
        <f t="shared" si="13"/>
        <v>0</v>
      </c>
      <c r="F144" s="147">
        <v>0</v>
      </c>
      <c r="G144" s="147">
        <f t="shared" si="14"/>
        <v>0</v>
      </c>
      <c r="H144" s="147">
        <f t="shared" si="15"/>
        <v>700000</v>
      </c>
    </row>
    <row r="145" spans="1:8" ht="12.75">
      <c r="A145" s="14" t="s">
        <v>10</v>
      </c>
      <c r="B145" s="145"/>
      <c r="C145" s="145"/>
      <c r="D145" s="147"/>
      <c r="E145" s="147">
        <f t="shared" si="13"/>
        <v>0</v>
      </c>
      <c r="F145" s="147"/>
      <c r="G145" s="147">
        <f t="shared" si="14"/>
        <v>0</v>
      </c>
      <c r="H145" s="147">
        <f t="shared" si="15"/>
        <v>0</v>
      </c>
    </row>
    <row r="146" spans="1:8" ht="12.75">
      <c r="A146" s="134" t="s">
        <v>680</v>
      </c>
      <c r="B146" s="145">
        <f>SUM(B147:B150)</f>
        <v>102693670</v>
      </c>
      <c r="C146" s="145">
        <f>SUM(C147:C150)</f>
        <v>102693670</v>
      </c>
      <c r="D146" s="147">
        <f>SUM(D147:D150)</f>
        <v>15452697.6</v>
      </c>
      <c r="E146" s="147">
        <f t="shared" si="13"/>
        <v>15.047371079444332</v>
      </c>
      <c r="F146" s="147">
        <f>SUM(F147:F150)</f>
        <v>36959656.8</v>
      </c>
      <c r="G146" s="147">
        <f t="shared" si="14"/>
        <v>35.99019959068558</v>
      </c>
      <c r="H146" s="147">
        <f t="shared" si="15"/>
        <v>65734013.2</v>
      </c>
    </row>
    <row r="147" spans="1:8" ht="12.75">
      <c r="A147" s="14" t="s">
        <v>11</v>
      </c>
      <c r="B147" s="145">
        <v>102693670</v>
      </c>
      <c r="C147" s="145">
        <v>102693670</v>
      </c>
      <c r="D147" s="147">
        <v>15452697.6</v>
      </c>
      <c r="E147" s="147">
        <f t="shared" si="13"/>
        <v>15.047371079444332</v>
      </c>
      <c r="F147" s="147">
        <v>36959656.8</v>
      </c>
      <c r="G147" s="147">
        <f t="shared" si="14"/>
        <v>35.99019959068558</v>
      </c>
      <c r="H147" s="147">
        <f t="shared" si="15"/>
        <v>65734013.2</v>
      </c>
    </row>
    <row r="148" spans="1:8" ht="12.75">
      <c r="A148" s="14" t="s">
        <v>681</v>
      </c>
      <c r="B148" s="145"/>
      <c r="C148" s="145"/>
      <c r="D148" s="147"/>
      <c r="E148" s="147">
        <f t="shared" si="13"/>
        <v>0</v>
      </c>
      <c r="F148" s="147"/>
      <c r="G148" s="147">
        <f t="shared" si="14"/>
        <v>0</v>
      </c>
      <c r="H148" s="147">
        <f t="shared" si="15"/>
        <v>0</v>
      </c>
    </row>
    <row r="149" spans="1:8" ht="25.5">
      <c r="A149" s="135" t="s">
        <v>704</v>
      </c>
      <c r="B149" s="145"/>
      <c r="C149" s="145"/>
      <c r="D149" s="147"/>
      <c r="E149" s="147">
        <f t="shared" si="13"/>
        <v>0</v>
      </c>
      <c r="F149" s="147"/>
      <c r="G149" s="147">
        <f t="shared" si="14"/>
        <v>0</v>
      </c>
      <c r="H149" s="147">
        <f t="shared" si="15"/>
        <v>0</v>
      </c>
    </row>
    <row r="150" spans="1:8" ht="25.5">
      <c r="A150" s="104" t="s">
        <v>716</v>
      </c>
      <c r="B150" s="145"/>
      <c r="C150" s="145"/>
      <c r="D150" s="147"/>
      <c r="E150" s="147">
        <f t="shared" si="13"/>
        <v>0</v>
      </c>
      <c r="F150" s="147"/>
      <c r="G150" s="147">
        <f t="shared" si="14"/>
        <v>0</v>
      </c>
      <c r="H150" s="147">
        <f t="shared" si="15"/>
        <v>0</v>
      </c>
    </row>
    <row r="151" spans="1:8" ht="12.75">
      <c r="A151" s="14" t="s">
        <v>12</v>
      </c>
      <c r="B151" s="145">
        <f>SUM(B152:B158)</f>
        <v>0</v>
      </c>
      <c r="C151" s="145">
        <f>SUM(C152:C158)</f>
        <v>0</v>
      </c>
      <c r="D151" s="147">
        <f>SUM(D152:D158)</f>
        <v>0</v>
      </c>
      <c r="E151" s="147">
        <f t="shared" si="13"/>
        <v>0</v>
      </c>
      <c r="F151" s="147">
        <f>SUM(F152:F158)</f>
        <v>0</v>
      </c>
      <c r="G151" s="147">
        <f t="shared" si="14"/>
        <v>0</v>
      </c>
      <c r="H151" s="147">
        <f t="shared" si="15"/>
        <v>0</v>
      </c>
    </row>
    <row r="152" spans="1:8" ht="12.75">
      <c r="A152" s="14" t="s">
        <v>682</v>
      </c>
      <c r="B152" s="145"/>
      <c r="C152" s="145"/>
      <c r="D152" s="147"/>
      <c r="E152" s="147">
        <f t="shared" si="13"/>
        <v>0</v>
      </c>
      <c r="F152" s="147"/>
      <c r="G152" s="147">
        <f t="shared" si="14"/>
        <v>0</v>
      </c>
      <c r="H152" s="147">
        <f t="shared" si="15"/>
        <v>0</v>
      </c>
    </row>
    <row r="153" spans="1:8" ht="12.75">
      <c r="A153" s="14" t="s">
        <v>683</v>
      </c>
      <c r="B153" s="145"/>
      <c r="C153" s="145"/>
      <c r="D153" s="147"/>
      <c r="E153" s="147">
        <f t="shared" si="13"/>
        <v>0</v>
      </c>
      <c r="F153" s="147"/>
      <c r="G153" s="147">
        <f t="shared" si="14"/>
        <v>0</v>
      </c>
      <c r="H153" s="147">
        <f t="shared" si="15"/>
        <v>0</v>
      </c>
    </row>
    <row r="154" spans="1:8" ht="25.5">
      <c r="A154" s="104" t="s">
        <v>717</v>
      </c>
      <c r="B154" s="145"/>
      <c r="C154" s="145"/>
      <c r="D154" s="147"/>
      <c r="E154" s="147">
        <f t="shared" si="13"/>
        <v>0</v>
      </c>
      <c r="F154" s="147"/>
      <c r="G154" s="147">
        <f t="shared" si="14"/>
        <v>0</v>
      </c>
      <c r="H154" s="147">
        <f t="shared" si="15"/>
        <v>0</v>
      </c>
    </row>
    <row r="155" spans="1:8" ht="12.75">
      <c r="A155" s="14" t="s">
        <v>684</v>
      </c>
      <c r="B155" s="145"/>
      <c r="C155" s="145"/>
      <c r="D155" s="147"/>
      <c r="E155" s="147">
        <f t="shared" si="13"/>
        <v>0</v>
      </c>
      <c r="F155" s="147"/>
      <c r="G155" s="147">
        <f t="shared" si="14"/>
        <v>0</v>
      </c>
      <c r="H155" s="147">
        <f t="shared" si="15"/>
        <v>0</v>
      </c>
    </row>
    <row r="156" spans="1:8" ht="12.75">
      <c r="A156" s="14" t="s">
        <v>685</v>
      </c>
      <c r="B156" s="145"/>
      <c r="C156" s="145"/>
      <c r="D156" s="147"/>
      <c r="E156" s="147">
        <f t="shared" si="13"/>
        <v>0</v>
      </c>
      <c r="F156" s="147"/>
      <c r="G156" s="147">
        <f t="shared" si="14"/>
        <v>0</v>
      </c>
      <c r="H156" s="147">
        <f t="shared" si="15"/>
        <v>0</v>
      </c>
    </row>
    <row r="157" spans="1:8" ht="12.75">
      <c r="A157" s="14" t="s">
        <v>712</v>
      </c>
      <c r="B157" s="145"/>
      <c r="C157" s="145"/>
      <c r="D157" s="147"/>
      <c r="E157" s="147">
        <f t="shared" si="13"/>
        <v>0</v>
      </c>
      <c r="F157" s="147"/>
      <c r="G157" s="147">
        <f t="shared" si="14"/>
        <v>0</v>
      </c>
      <c r="H157" s="147">
        <f t="shared" si="15"/>
        <v>0</v>
      </c>
    </row>
    <row r="158" spans="1:8" ht="12.75">
      <c r="A158" s="14" t="s">
        <v>713</v>
      </c>
      <c r="B158" s="145"/>
      <c r="C158" s="145"/>
      <c r="D158" s="147"/>
      <c r="E158" s="147">
        <f t="shared" si="13"/>
        <v>0</v>
      </c>
      <c r="F158" s="147"/>
      <c r="G158" s="147">
        <f t="shared" si="14"/>
        <v>0</v>
      </c>
      <c r="H158" s="147">
        <f t="shared" si="15"/>
        <v>0</v>
      </c>
    </row>
    <row r="159" spans="1:8" ht="12.75">
      <c r="A159" s="14" t="s">
        <v>16</v>
      </c>
      <c r="B159" s="145"/>
      <c r="C159" s="145"/>
      <c r="D159" s="147"/>
      <c r="E159" s="147">
        <f t="shared" si="13"/>
        <v>0</v>
      </c>
      <c r="F159" s="147"/>
      <c r="G159" s="147">
        <f t="shared" si="14"/>
        <v>0</v>
      </c>
      <c r="H159" s="147">
        <f t="shared" si="15"/>
        <v>0</v>
      </c>
    </row>
    <row r="160" spans="1:8" ht="12.75">
      <c r="A160" s="14" t="s">
        <v>17</v>
      </c>
      <c r="B160" s="145"/>
      <c r="C160" s="145"/>
      <c r="D160" s="147"/>
      <c r="E160" s="147">
        <f t="shared" si="13"/>
        <v>0</v>
      </c>
      <c r="F160" s="147"/>
      <c r="G160" s="147">
        <f t="shared" si="14"/>
        <v>0</v>
      </c>
      <c r="H160" s="147">
        <f t="shared" si="15"/>
        <v>0</v>
      </c>
    </row>
    <row r="161" spans="1:8" ht="12.75">
      <c r="A161" s="14" t="s">
        <v>18</v>
      </c>
      <c r="B161" s="145">
        <f>SUM(B162:B166)</f>
        <v>3111000</v>
      </c>
      <c r="C161" s="145">
        <f>SUM(C162:C166)</f>
        <v>3111000</v>
      </c>
      <c r="D161" s="147">
        <f>SUM(D162:D166)</f>
        <v>460865.88999999996</v>
      </c>
      <c r="E161" s="147">
        <f t="shared" si="13"/>
        <v>14.814075538412085</v>
      </c>
      <c r="F161" s="147">
        <f>SUM(F162:F166)</f>
        <v>856447.35</v>
      </c>
      <c r="G161" s="147">
        <f t="shared" si="14"/>
        <v>27.529648023143682</v>
      </c>
      <c r="H161" s="147">
        <f t="shared" si="15"/>
        <v>2254552.65</v>
      </c>
    </row>
    <row r="162" spans="1:8" ht="12.75">
      <c r="A162" s="14" t="s">
        <v>688</v>
      </c>
      <c r="B162" s="145">
        <v>3020000</v>
      </c>
      <c r="C162" s="145">
        <v>3020000</v>
      </c>
      <c r="D162" s="147">
        <v>460775.85</v>
      </c>
      <c r="E162" s="147">
        <f t="shared" si="13"/>
        <v>15.25747847682119</v>
      </c>
      <c r="F162" s="147">
        <v>856324.72</v>
      </c>
      <c r="G162" s="147">
        <f t="shared" si="14"/>
        <v>28.355123178807943</v>
      </c>
      <c r="H162" s="147">
        <f t="shared" si="15"/>
        <v>2163675.2800000003</v>
      </c>
    </row>
    <row r="163" spans="1:8" ht="25.5">
      <c r="A163" s="104" t="s">
        <v>718</v>
      </c>
      <c r="B163" s="145"/>
      <c r="C163" s="145"/>
      <c r="D163" s="147"/>
      <c r="E163" s="147">
        <f t="shared" si="13"/>
        <v>0</v>
      </c>
      <c r="F163" s="147"/>
      <c r="G163" s="147">
        <f t="shared" si="14"/>
        <v>0</v>
      </c>
      <c r="H163" s="147">
        <f t="shared" si="15"/>
        <v>0</v>
      </c>
    </row>
    <row r="164" spans="1:8" ht="12.75">
      <c r="A164" s="14" t="s">
        <v>689</v>
      </c>
      <c r="B164" s="145"/>
      <c r="C164" s="145"/>
      <c r="D164" s="147"/>
      <c r="E164" s="147">
        <f t="shared" si="13"/>
        <v>0</v>
      </c>
      <c r="F164" s="147"/>
      <c r="G164" s="147">
        <f t="shared" si="14"/>
        <v>0</v>
      </c>
      <c r="H164" s="147">
        <f t="shared" si="15"/>
        <v>0</v>
      </c>
    </row>
    <row r="165" spans="1:8" ht="12.75">
      <c r="A165" s="14" t="s">
        <v>690</v>
      </c>
      <c r="B165" s="145"/>
      <c r="C165" s="145"/>
      <c r="D165" s="147"/>
      <c r="E165" s="147">
        <f t="shared" si="13"/>
        <v>0</v>
      </c>
      <c r="F165" s="147"/>
      <c r="G165" s="147">
        <f t="shared" si="14"/>
        <v>0</v>
      </c>
      <c r="H165" s="147">
        <f t="shared" si="15"/>
        <v>0</v>
      </c>
    </row>
    <row r="166" spans="1:8" ht="12.75">
      <c r="A166" s="14" t="s">
        <v>691</v>
      </c>
      <c r="B166" s="145">
        <v>91000</v>
      </c>
      <c r="C166" s="145">
        <v>91000</v>
      </c>
      <c r="D166" s="147">
        <v>90.04</v>
      </c>
      <c r="E166" s="147">
        <f t="shared" si="13"/>
        <v>0.09894505494505496</v>
      </c>
      <c r="F166" s="147">
        <v>122.63</v>
      </c>
      <c r="G166" s="147">
        <f t="shared" si="14"/>
        <v>0.13475824175824175</v>
      </c>
      <c r="H166" s="147">
        <f t="shared" si="15"/>
        <v>90877.37</v>
      </c>
    </row>
    <row r="167" spans="1:8" ht="12.75">
      <c r="A167" s="14" t="s">
        <v>19</v>
      </c>
      <c r="B167" s="145">
        <f>SUM(B168:B175)</f>
        <v>0</v>
      </c>
      <c r="C167" s="145">
        <f>SUM(C168:C175)</f>
        <v>0</v>
      </c>
      <c r="D167" s="147">
        <f>SUM(D168:D175)</f>
        <v>0</v>
      </c>
      <c r="E167" s="147">
        <f t="shared" si="13"/>
        <v>0</v>
      </c>
      <c r="F167" s="147">
        <f>SUM(F168:F175)</f>
        <v>0</v>
      </c>
      <c r="G167" s="147">
        <f t="shared" si="14"/>
        <v>0</v>
      </c>
      <c r="H167" s="147">
        <f t="shared" si="15"/>
        <v>0</v>
      </c>
    </row>
    <row r="168" spans="1:8" ht="25.5">
      <c r="A168" s="104" t="s">
        <v>719</v>
      </c>
      <c r="B168" s="145"/>
      <c r="C168" s="145"/>
      <c r="D168" s="147"/>
      <c r="E168" s="147">
        <f t="shared" si="13"/>
        <v>0</v>
      </c>
      <c r="F168" s="147"/>
      <c r="G168" s="147">
        <f t="shared" si="14"/>
        <v>0</v>
      </c>
      <c r="H168" s="147">
        <f t="shared" si="15"/>
        <v>0</v>
      </c>
    </row>
    <row r="169" spans="1:8" ht="25.5">
      <c r="A169" s="104" t="s">
        <v>720</v>
      </c>
      <c r="B169" s="145"/>
      <c r="C169" s="145"/>
      <c r="D169" s="147"/>
      <c r="E169" s="147">
        <f t="shared" si="13"/>
        <v>0</v>
      </c>
      <c r="F169" s="147"/>
      <c r="G169" s="147">
        <f t="shared" si="14"/>
        <v>0</v>
      </c>
      <c r="H169" s="147">
        <f t="shared" si="15"/>
        <v>0</v>
      </c>
    </row>
    <row r="170" spans="1:8" ht="12.75">
      <c r="A170" s="14" t="s">
        <v>693</v>
      </c>
      <c r="B170" s="145"/>
      <c r="C170" s="145"/>
      <c r="D170" s="147"/>
      <c r="E170" s="147">
        <f t="shared" si="13"/>
        <v>0</v>
      </c>
      <c r="F170" s="147"/>
      <c r="G170" s="147">
        <f t="shared" si="14"/>
        <v>0</v>
      </c>
      <c r="H170" s="147">
        <f t="shared" si="15"/>
        <v>0</v>
      </c>
    </row>
    <row r="171" spans="1:8" ht="12.75">
      <c r="A171" s="14" t="s">
        <v>20</v>
      </c>
      <c r="B171" s="145"/>
      <c r="C171" s="145"/>
      <c r="D171" s="147"/>
      <c r="E171" s="147">
        <f t="shared" si="13"/>
        <v>0</v>
      </c>
      <c r="F171" s="147"/>
      <c r="G171" s="147">
        <f t="shared" si="14"/>
        <v>0</v>
      </c>
      <c r="H171" s="147">
        <f t="shared" si="15"/>
        <v>0</v>
      </c>
    </row>
    <row r="172" spans="1:8" ht="12.75">
      <c r="A172" s="14" t="s">
        <v>30</v>
      </c>
      <c r="B172" s="145"/>
      <c r="C172" s="145"/>
      <c r="D172" s="147"/>
      <c r="E172" s="147">
        <f aca="true" t="shared" si="16" ref="E172:E203">IF(C172&gt;0,D172/C172,0)*100</f>
        <v>0</v>
      </c>
      <c r="F172" s="147"/>
      <c r="G172" s="147">
        <f aca="true" t="shared" si="17" ref="G172:G203">IF(C172&gt;0,F172/C172,0)*100</f>
        <v>0</v>
      </c>
      <c r="H172" s="147">
        <f aca="true" t="shared" si="18" ref="H172:H203">C172-F172</f>
        <v>0</v>
      </c>
    </row>
    <row r="173" spans="1:8" ht="12.75">
      <c r="A173" s="14" t="s">
        <v>21</v>
      </c>
      <c r="B173" s="145"/>
      <c r="C173" s="145"/>
      <c r="D173" s="147"/>
      <c r="E173" s="147">
        <f t="shared" si="16"/>
        <v>0</v>
      </c>
      <c r="F173" s="147"/>
      <c r="G173" s="147">
        <f t="shared" si="17"/>
        <v>0</v>
      </c>
      <c r="H173" s="147">
        <f t="shared" si="18"/>
        <v>0</v>
      </c>
    </row>
    <row r="174" spans="1:8" ht="12.75">
      <c r="A174" s="14" t="s">
        <v>694</v>
      </c>
      <c r="B174" s="145"/>
      <c r="C174" s="145"/>
      <c r="D174" s="147"/>
      <c r="E174" s="147">
        <f t="shared" si="16"/>
        <v>0</v>
      </c>
      <c r="F174" s="147"/>
      <c r="G174" s="147">
        <f t="shared" si="17"/>
        <v>0</v>
      </c>
      <c r="H174" s="147">
        <f t="shared" si="18"/>
        <v>0</v>
      </c>
    </row>
    <row r="175" spans="1:8" ht="25.5">
      <c r="A175" s="136" t="s">
        <v>709</v>
      </c>
      <c r="B175" s="145"/>
      <c r="C175" s="145"/>
      <c r="D175" s="147"/>
      <c r="E175" s="147">
        <f t="shared" si="16"/>
        <v>0</v>
      </c>
      <c r="F175" s="147"/>
      <c r="G175" s="147">
        <f t="shared" si="17"/>
        <v>0</v>
      </c>
      <c r="H175" s="147">
        <f t="shared" si="18"/>
        <v>0</v>
      </c>
    </row>
    <row r="176" spans="1:8" ht="12.75">
      <c r="A176" s="14" t="s">
        <v>22</v>
      </c>
      <c r="B176" s="145">
        <f>SUM(B177:B180)</f>
        <v>1574500</v>
      </c>
      <c r="C176" s="145">
        <f>SUM(C177:C180)</f>
        <v>1574500</v>
      </c>
      <c r="D176" s="147">
        <f>SUM(D177:D180)</f>
        <v>208457.1</v>
      </c>
      <c r="E176" s="147">
        <f t="shared" si="16"/>
        <v>13.239574468085108</v>
      </c>
      <c r="F176" s="147">
        <f>SUM(F177:F180)</f>
        <v>298449.85</v>
      </c>
      <c r="G176" s="147">
        <f t="shared" si="17"/>
        <v>18.955214353763097</v>
      </c>
      <c r="H176" s="147">
        <f t="shared" si="18"/>
        <v>1276050.15</v>
      </c>
    </row>
    <row r="177" spans="1:8" ht="12.75">
      <c r="A177" s="14" t="s">
        <v>695</v>
      </c>
      <c r="B177" s="145"/>
      <c r="C177" s="145"/>
      <c r="D177" s="147"/>
      <c r="E177" s="147">
        <f t="shared" si="16"/>
        <v>0</v>
      </c>
      <c r="F177" s="147"/>
      <c r="G177" s="147">
        <f t="shared" si="17"/>
        <v>0</v>
      </c>
      <c r="H177" s="147">
        <f t="shared" si="18"/>
        <v>0</v>
      </c>
    </row>
    <row r="178" spans="1:8" ht="12.75">
      <c r="A178" s="14" t="s">
        <v>696</v>
      </c>
      <c r="B178" s="145">
        <v>1574500</v>
      </c>
      <c r="C178" s="145">
        <v>1574500</v>
      </c>
      <c r="D178" s="147">
        <v>208457.1</v>
      </c>
      <c r="E178" s="147">
        <f t="shared" si="16"/>
        <v>13.239574468085108</v>
      </c>
      <c r="F178" s="147">
        <v>298449.85</v>
      </c>
      <c r="G178" s="147">
        <f t="shared" si="17"/>
        <v>18.955214353763097</v>
      </c>
      <c r="H178" s="147">
        <f t="shared" si="18"/>
        <v>1276050.15</v>
      </c>
    </row>
    <row r="179" spans="1:8" ht="25.5">
      <c r="A179" s="104" t="s">
        <v>721</v>
      </c>
      <c r="B179" s="145"/>
      <c r="C179" s="145"/>
      <c r="D179" s="147"/>
      <c r="E179" s="147">
        <f t="shared" si="16"/>
        <v>0</v>
      </c>
      <c r="F179" s="147"/>
      <c r="G179" s="147">
        <f t="shared" si="17"/>
        <v>0</v>
      </c>
      <c r="H179" s="147">
        <f t="shared" si="18"/>
        <v>0</v>
      </c>
    </row>
    <row r="180" spans="1:8" ht="12.75">
      <c r="A180" s="104" t="s">
        <v>93</v>
      </c>
      <c r="B180" s="145"/>
      <c r="C180" s="145"/>
      <c r="D180" s="147"/>
      <c r="E180" s="147">
        <f t="shared" si="16"/>
        <v>0</v>
      </c>
      <c r="F180" s="147"/>
      <c r="G180" s="147">
        <f t="shared" si="17"/>
        <v>0</v>
      </c>
      <c r="H180" s="147">
        <f t="shared" si="18"/>
        <v>0</v>
      </c>
    </row>
    <row r="181" spans="1:8" ht="12.75">
      <c r="A181" s="14" t="s">
        <v>23</v>
      </c>
      <c r="B181" s="145">
        <f>B182+B185+B190+B199</f>
        <v>0</v>
      </c>
      <c r="C181" s="145">
        <f>C182+C185+C190+C199</f>
        <v>0</v>
      </c>
      <c r="D181" s="147">
        <f>D182+D185+D190+D199</f>
        <v>0</v>
      </c>
      <c r="E181" s="147">
        <f t="shared" si="16"/>
        <v>0</v>
      </c>
      <c r="F181" s="147">
        <f>F182+F185+F190+F199</f>
        <v>0</v>
      </c>
      <c r="G181" s="147">
        <f t="shared" si="17"/>
        <v>0</v>
      </c>
      <c r="H181" s="147">
        <f t="shared" si="18"/>
        <v>0</v>
      </c>
    </row>
    <row r="182" spans="1:8" ht="12.75">
      <c r="A182" s="14" t="s">
        <v>24</v>
      </c>
      <c r="B182" s="145">
        <f>SUM(B183:B184)</f>
        <v>0</v>
      </c>
      <c r="C182" s="145">
        <f>SUM(C183:C184)</f>
        <v>0</v>
      </c>
      <c r="D182" s="147">
        <f>SUM(D183:D184)</f>
        <v>0</v>
      </c>
      <c r="E182" s="147">
        <f t="shared" si="16"/>
        <v>0</v>
      </c>
      <c r="F182" s="147">
        <f>SUM(F183:F184)</f>
        <v>0</v>
      </c>
      <c r="G182" s="147">
        <f t="shared" si="17"/>
        <v>0</v>
      </c>
      <c r="H182" s="147">
        <f t="shared" si="18"/>
        <v>0</v>
      </c>
    </row>
    <row r="183" spans="1:8" ht="12.75">
      <c r="A183" s="14" t="s">
        <v>697</v>
      </c>
      <c r="B183" s="145"/>
      <c r="C183" s="145"/>
      <c r="D183" s="147"/>
      <c r="E183" s="147">
        <f t="shared" si="16"/>
        <v>0</v>
      </c>
      <c r="F183" s="147"/>
      <c r="G183" s="147">
        <f t="shared" si="17"/>
        <v>0</v>
      </c>
      <c r="H183" s="147">
        <f t="shared" si="18"/>
        <v>0</v>
      </c>
    </row>
    <row r="184" spans="1:8" ht="12.75">
      <c r="A184" s="14" t="s">
        <v>698</v>
      </c>
      <c r="B184" s="145"/>
      <c r="C184" s="145"/>
      <c r="D184" s="147"/>
      <c r="E184" s="147">
        <f t="shared" si="16"/>
        <v>0</v>
      </c>
      <c r="F184" s="147"/>
      <c r="G184" s="147">
        <f t="shared" si="17"/>
        <v>0</v>
      </c>
      <c r="H184" s="147">
        <f t="shared" si="18"/>
        <v>0</v>
      </c>
    </row>
    <row r="185" spans="1:8" ht="12.75">
      <c r="A185" s="14" t="s">
        <v>25</v>
      </c>
      <c r="B185" s="145">
        <f>SUM(B186:B189)</f>
        <v>0</v>
      </c>
      <c r="C185" s="145">
        <f>SUM(C186:C189)</f>
        <v>0</v>
      </c>
      <c r="D185" s="147">
        <f>SUM(D186:D189)</f>
        <v>0</v>
      </c>
      <c r="E185" s="147">
        <f t="shared" si="16"/>
        <v>0</v>
      </c>
      <c r="F185" s="147">
        <f>SUM(F186:F189)</f>
        <v>0</v>
      </c>
      <c r="G185" s="147">
        <f t="shared" si="17"/>
        <v>0</v>
      </c>
      <c r="H185" s="147">
        <f t="shared" si="18"/>
        <v>0</v>
      </c>
    </row>
    <row r="186" spans="1:8" ht="12.75">
      <c r="A186" s="14" t="s">
        <v>26</v>
      </c>
      <c r="B186" s="145"/>
      <c r="C186" s="145"/>
      <c r="D186" s="147"/>
      <c r="E186" s="147">
        <f t="shared" si="16"/>
        <v>0</v>
      </c>
      <c r="F186" s="147"/>
      <c r="G186" s="147">
        <f t="shared" si="17"/>
        <v>0</v>
      </c>
      <c r="H186" s="147">
        <f t="shared" si="18"/>
        <v>0</v>
      </c>
    </row>
    <row r="187" spans="1:8" ht="12.75">
      <c r="A187" s="14" t="s">
        <v>27</v>
      </c>
      <c r="B187" s="145"/>
      <c r="C187" s="145"/>
      <c r="D187" s="147"/>
      <c r="E187" s="147">
        <f t="shared" si="16"/>
        <v>0</v>
      </c>
      <c r="F187" s="147"/>
      <c r="G187" s="147">
        <f t="shared" si="17"/>
        <v>0</v>
      </c>
      <c r="H187" s="147">
        <f t="shared" si="18"/>
        <v>0</v>
      </c>
    </row>
    <row r="188" spans="1:8" ht="12.75">
      <c r="A188" s="14" t="s">
        <v>699</v>
      </c>
      <c r="B188" s="145"/>
      <c r="C188" s="145"/>
      <c r="D188" s="147"/>
      <c r="E188" s="147">
        <f t="shared" si="16"/>
        <v>0</v>
      </c>
      <c r="F188" s="147"/>
      <c r="G188" s="147">
        <f t="shared" si="17"/>
        <v>0</v>
      </c>
      <c r="H188" s="147">
        <f t="shared" si="18"/>
        <v>0</v>
      </c>
    </row>
    <row r="189" spans="1:8" ht="12.75">
      <c r="A189" s="14" t="s">
        <v>28</v>
      </c>
      <c r="B189" s="145"/>
      <c r="C189" s="145"/>
      <c r="D189" s="147"/>
      <c r="E189" s="147">
        <f t="shared" si="16"/>
        <v>0</v>
      </c>
      <c r="F189" s="147"/>
      <c r="G189" s="147">
        <f t="shared" si="17"/>
        <v>0</v>
      </c>
      <c r="H189" s="147">
        <f t="shared" si="18"/>
        <v>0</v>
      </c>
    </row>
    <row r="190" spans="1:8" ht="12.75">
      <c r="A190" s="14" t="s">
        <v>29</v>
      </c>
      <c r="B190" s="145">
        <f>SUM(B191:B198)</f>
        <v>0</v>
      </c>
      <c r="C190" s="145">
        <f>SUM(C191:C198)</f>
        <v>0</v>
      </c>
      <c r="D190" s="147">
        <f>SUM(D191:D198)</f>
        <v>0</v>
      </c>
      <c r="E190" s="147">
        <f t="shared" si="16"/>
        <v>0</v>
      </c>
      <c r="F190" s="147">
        <f>SUM(F191:F198)</f>
        <v>0</v>
      </c>
      <c r="G190" s="147">
        <f t="shared" si="17"/>
        <v>0</v>
      </c>
      <c r="H190" s="147">
        <f t="shared" si="18"/>
        <v>0</v>
      </c>
    </row>
    <row r="191" spans="1:8" ht="12.75">
      <c r="A191" s="14" t="s">
        <v>700</v>
      </c>
      <c r="B191" s="145"/>
      <c r="C191" s="145"/>
      <c r="D191" s="147"/>
      <c r="E191" s="147">
        <f t="shared" si="16"/>
        <v>0</v>
      </c>
      <c r="F191" s="147"/>
      <c r="G191" s="147">
        <f t="shared" si="17"/>
        <v>0</v>
      </c>
      <c r="H191" s="147">
        <f t="shared" si="18"/>
        <v>0</v>
      </c>
    </row>
    <row r="192" spans="1:8" ht="26.25" customHeight="1">
      <c r="A192" s="104" t="s">
        <v>722</v>
      </c>
      <c r="B192" s="145"/>
      <c r="C192" s="145"/>
      <c r="D192" s="147"/>
      <c r="E192" s="147">
        <f t="shared" si="16"/>
        <v>0</v>
      </c>
      <c r="F192" s="147"/>
      <c r="G192" s="147">
        <f t="shared" si="17"/>
        <v>0</v>
      </c>
      <c r="H192" s="147">
        <f t="shared" si="18"/>
        <v>0</v>
      </c>
    </row>
    <row r="193" spans="1:8" ht="12.75">
      <c r="A193" s="14" t="s">
        <v>693</v>
      </c>
      <c r="B193" s="145"/>
      <c r="C193" s="145"/>
      <c r="D193" s="147"/>
      <c r="E193" s="147">
        <f t="shared" si="16"/>
        <v>0</v>
      </c>
      <c r="F193" s="147"/>
      <c r="G193" s="147">
        <f t="shared" si="17"/>
        <v>0</v>
      </c>
      <c r="H193" s="147">
        <f t="shared" si="18"/>
        <v>0</v>
      </c>
    </row>
    <row r="194" spans="1:8" ht="12.75">
      <c r="A194" s="14" t="s">
        <v>20</v>
      </c>
      <c r="B194" s="145"/>
      <c r="C194" s="145"/>
      <c r="D194" s="147"/>
      <c r="E194" s="147">
        <f t="shared" si="16"/>
        <v>0</v>
      </c>
      <c r="F194" s="147"/>
      <c r="G194" s="147">
        <f t="shared" si="17"/>
        <v>0</v>
      </c>
      <c r="H194" s="147">
        <f t="shared" si="18"/>
        <v>0</v>
      </c>
    </row>
    <row r="195" spans="1:8" ht="12.75">
      <c r="A195" s="105" t="s">
        <v>30</v>
      </c>
      <c r="B195" s="145"/>
      <c r="C195" s="145"/>
      <c r="D195" s="147"/>
      <c r="E195" s="147">
        <f t="shared" si="16"/>
        <v>0</v>
      </c>
      <c r="F195" s="147"/>
      <c r="G195" s="147">
        <f t="shared" si="17"/>
        <v>0</v>
      </c>
      <c r="H195" s="147">
        <f t="shared" si="18"/>
        <v>0</v>
      </c>
    </row>
    <row r="196" spans="1:8" ht="12.75">
      <c r="A196" s="105" t="s">
        <v>21</v>
      </c>
      <c r="B196" s="145"/>
      <c r="C196" s="145"/>
      <c r="D196" s="147"/>
      <c r="E196" s="147">
        <f t="shared" si="16"/>
        <v>0</v>
      </c>
      <c r="F196" s="147"/>
      <c r="G196" s="147">
        <f t="shared" si="17"/>
        <v>0</v>
      </c>
      <c r="H196" s="147">
        <f t="shared" si="18"/>
        <v>0</v>
      </c>
    </row>
    <row r="197" spans="1:8" ht="12.75">
      <c r="A197" s="14" t="s">
        <v>694</v>
      </c>
      <c r="B197" s="145"/>
      <c r="C197" s="145"/>
      <c r="D197" s="147"/>
      <c r="E197" s="147">
        <f t="shared" si="16"/>
        <v>0</v>
      </c>
      <c r="F197" s="147"/>
      <c r="G197" s="147">
        <f t="shared" si="17"/>
        <v>0</v>
      </c>
      <c r="H197" s="147">
        <f t="shared" si="18"/>
        <v>0</v>
      </c>
    </row>
    <row r="198" spans="1:8" ht="25.5">
      <c r="A198" s="105" t="s">
        <v>723</v>
      </c>
      <c r="B198" s="145"/>
      <c r="C198" s="145"/>
      <c r="D198" s="147"/>
      <c r="E198" s="147">
        <f t="shared" si="16"/>
        <v>0</v>
      </c>
      <c r="F198" s="147"/>
      <c r="G198" s="147">
        <f t="shared" si="17"/>
        <v>0</v>
      </c>
      <c r="H198" s="147">
        <f t="shared" si="18"/>
        <v>0</v>
      </c>
    </row>
    <row r="199" spans="1:8" ht="12.75">
      <c r="A199" s="134" t="s">
        <v>31</v>
      </c>
      <c r="B199" s="145">
        <f>SUM(B200:B204)</f>
        <v>0</v>
      </c>
      <c r="C199" s="145">
        <f>SUM(C200:C204)</f>
        <v>0</v>
      </c>
      <c r="D199" s="147">
        <f>SUM(D200:D204)</f>
        <v>0</v>
      </c>
      <c r="E199" s="147">
        <f t="shared" si="16"/>
        <v>0</v>
      </c>
      <c r="F199" s="147">
        <f>SUM(F200:F204)</f>
        <v>0</v>
      </c>
      <c r="G199" s="147">
        <f t="shared" si="17"/>
        <v>0</v>
      </c>
      <c r="H199" s="147">
        <f t="shared" si="18"/>
        <v>0</v>
      </c>
    </row>
    <row r="200" spans="1:8" ht="12.75">
      <c r="A200" s="134" t="s">
        <v>32</v>
      </c>
      <c r="B200" s="145"/>
      <c r="C200" s="145"/>
      <c r="D200" s="147"/>
      <c r="E200" s="147">
        <f t="shared" si="16"/>
        <v>0</v>
      </c>
      <c r="F200" s="147"/>
      <c r="G200" s="147">
        <f t="shared" si="17"/>
        <v>0</v>
      </c>
      <c r="H200" s="147">
        <f t="shared" si="18"/>
        <v>0</v>
      </c>
    </row>
    <row r="201" spans="1:8" ht="12.75">
      <c r="A201" s="135" t="s">
        <v>701</v>
      </c>
      <c r="B201" s="145"/>
      <c r="C201" s="145"/>
      <c r="D201" s="147"/>
      <c r="E201" s="147">
        <f t="shared" si="16"/>
        <v>0</v>
      </c>
      <c r="F201" s="147"/>
      <c r="G201" s="147">
        <f t="shared" si="17"/>
        <v>0</v>
      </c>
      <c r="H201" s="147">
        <f t="shared" si="18"/>
        <v>0</v>
      </c>
    </row>
    <row r="202" spans="1:8" ht="12.75">
      <c r="A202" s="135" t="s">
        <v>714</v>
      </c>
      <c r="B202" s="145"/>
      <c r="C202" s="145"/>
      <c r="D202" s="147"/>
      <c r="E202" s="147">
        <f t="shared" si="16"/>
        <v>0</v>
      </c>
      <c r="F202" s="147"/>
      <c r="G202" s="147">
        <f t="shared" si="17"/>
        <v>0</v>
      </c>
      <c r="H202" s="147">
        <f t="shared" si="18"/>
        <v>0</v>
      </c>
    </row>
    <row r="203" spans="1:8" ht="12.75">
      <c r="A203" s="16" t="s">
        <v>715</v>
      </c>
      <c r="B203" s="152"/>
      <c r="C203" s="152"/>
      <c r="D203" s="152"/>
      <c r="E203" s="152">
        <f t="shared" si="16"/>
        <v>0</v>
      </c>
      <c r="F203" s="152"/>
      <c r="G203" s="152">
        <f t="shared" si="17"/>
        <v>0</v>
      </c>
      <c r="H203" s="152">
        <f t="shared" si="18"/>
        <v>0</v>
      </c>
    </row>
    <row r="204" spans="1:8" ht="12.75">
      <c r="A204" s="137"/>
      <c r="B204" s="70"/>
      <c r="C204" s="70"/>
      <c r="D204" s="70"/>
      <c r="E204" s="70"/>
      <c r="F204" s="70"/>
      <c r="G204" s="70"/>
      <c r="H204" s="70"/>
    </row>
    <row r="205" spans="1:8" ht="12.75">
      <c r="A205" s="137"/>
      <c r="B205" s="70"/>
      <c r="C205" s="70"/>
      <c r="D205" s="70"/>
      <c r="E205" s="70"/>
      <c r="F205" s="70"/>
      <c r="G205" s="70"/>
      <c r="H205" s="70"/>
    </row>
    <row r="206" spans="1:8" ht="12.75">
      <c r="A206" s="137"/>
      <c r="B206" s="70"/>
      <c r="C206" s="70"/>
      <c r="D206" s="70"/>
      <c r="E206" s="70"/>
      <c r="F206" s="70"/>
      <c r="G206" s="70"/>
      <c r="H206" s="70"/>
    </row>
    <row r="207" spans="1:8" ht="12.75">
      <c r="A207" s="137"/>
      <c r="B207" s="70"/>
      <c r="C207" s="70"/>
      <c r="D207" s="70"/>
      <c r="E207" s="70"/>
      <c r="F207" s="70"/>
      <c r="G207" s="70"/>
      <c r="H207" s="70"/>
    </row>
    <row r="208" s="91" customFormat="1" ht="12.75"/>
    <row r="209" spans="1:11" ht="12.75" customHeight="1">
      <c r="A209" s="119"/>
      <c r="B209" s="98" t="s">
        <v>103</v>
      </c>
      <c r="C209" s="98" t="s">
        <v>103</v>
      </c>
      <c r="D209" s="785" t="s">
        <v>104</v>
      </c>
      <c r="E209" s="786"/>
      <c r="F209" s="120" t="s">
        <v>107</v>
      </c>
      <c r="G209" s="785" t="s">
        <v>105</v>
      </c>
      <c r="H209" s="787"/>
      <c r="I209" s="120" t="s">
        <v>107</v>
      </c>
      <c r="J209" s="788" t="s">
        <v>815</v>
      </c>
      <c r="K209" s="782" t="s">
        <v>590</v>
      </c>
    </row>
    <row r="210" spans="1:11" ht="28.5" customHeight="1">
      <c r="A210" s="121" t="s">
        <v>583</v>
      </c>
      <c r="B210" s="122" t="s">
        <v>74</v>
      </c>
      <c r="C210" s="122" t="s">
        <v>75</v>
      </c>
      <c r="D210" s="123" t="str">
        <f>D138</f>
        <v>No Bimestre</v>
      </c>
      <c r="E210" s="124" t="str">
        <f>F138</f>
        <v>Até o  Bimestre</v>
      </c>
      <c r="F210" s="123"/>
      <c r="G210" s="123" t="str">
        <f>D210</f>
        <v>No Bimestre</v>
      </c>
      <c r="H210" s="124" t="str">
        <f>E210</f>
        <v>Até o  Bimestre</v>
      </c>
      <c r="I210" s="123"/>
      <c r="J210" s="789"/>
      <c r="K210" s="783"/>
    </row>
    <row r="211" spans="1:11" ht="25.5" customHeight="1">
      <c r="A211" s="125"/>
      <c r="B211" s="126" t="s">
        <v>108</v>
      </c>
      <c r="C211" s="126" t="s">
        <v>109</v>
      </c>
      <c r="D211" s="126"/>
      <c r="E211" s="126" t="s">
        <v>190</v>
      </c>
      <c r="F211" s="127" t="s">
        <v>587</v>
      </c>
      <c r="G211" s="128"/>
      <c r="H211" s="128" t="s">
        <v>111</v>
      </c>
      <c r="I211" s="127" t="s">
        <v>588</v>
      </c>
      <c r="J211" s="128" t="s">
        <v>326</v>
      </c>
      <c r="K211" s="784"/>
    </row>
    <row r="212" spans="1:11" ht="12.75">
      <c r="A212" s="138" t="s">
        <v>576</v>
      </c>
      <c r="B212" s="166">
        <f>B213+B217+B221</f>
        <v>105458095</v>
      </c>
      <c r="C212" s="148">
        <f>C213+C217+C221</f>
        <v>106520095</v>
      </c>
      <c r="D212" s="166">
        <f>D213+D217+D221</f>
        <v>16384659.629999999</v>
      </c>
      <c r="E212" s="148">
        <f>E213+E217+E221</f>
        <v>36525876.53</v>
      </c>
      <c r="F212" s="166">
        <f aca="true" t="shared" si="19" ref="F212:F221">C212-E212</f>
        <v>69994218.47</v>
      </c>
      <c r="G212" s="148">
        <f>G213+G217+G221</f>
        <v>17163723.75</v>
      </c>
      <c r="H212" s="166">
        <f>H213+H217+H221</f>
        <v>32182012.590000004</v>
      </c>
      <c r="I212" s="148">
        <f aca="true" t="shared" si="20" ref="I212:I221">C212-H212</f>
        <v>74338082.41</v>
      </c>
      <c r="J212" s="148">
        <f>J213+J217+J221</f>
        <v>24072422.93</v>
      </c>
      <c r="K212" s="162">
        <f>K213+K217+K221</f>
        <v>0</v>
      </c>
    </row>
    <row r="213" spans="1:11" ht="12.75">
      <c r="A213" s="140" t="s">
        <v>57</v>
      </c>
      <c r="B213" s="167">
        <f>SUM(B214:B216)</f>
        <v>105458095</v>
      </c>
      <c r="C213" s="147">
        <f>SUM(C214:C216)</f>
        <v>106520095</v>
      </c>
      <c r="D213" s="167">
        <f>SUM(D214:D216)</f>
        <v>16384659.629999999</v>
      </c>
      <c r="E213" s="147">
        <f>SUM(E214:E216)</f>
        <v>36525876.53</v>
      </c>
      <c r="F213" s="167">
        <f t="shared" si="19"/>
        <v>69994218.47</v>
      </c>
      <c r="G213" s="147">
        <f>SUM(G214:G216)</f>
        <v>17163723.75</v>
      </c>
      <c r="H213" s="167">
        <f>SUM(H214:H216)</f>
        <v>32182012.590000004</v>
      </c>
      <c r="I213" s="147">
        <f t="shared" si="20"/>
        <v>74338082.41</v>
      </c>
      <c r="J213" s="147">
        <f>SUM(J214:J216)</f>
        <v>24072422.93</v>
      </c>
      <c r="K213" s="162">
        <f>SUM(K214:K216)</f>
        <v>0</v>
      </c>
    </row>
    <row r="214" spans="1:11" ht="12.75">
      <c r="A214" s="140" t="s">
        <v>58</v>
      </c>
      <c r="B214" s="167">
        <v>62249500</v>
      </c>
      <c r="C214" s="147">
        <v>62849500</v>
      </c>
      <c r="D214" s="167">
        <v>10051514.68</v>
      </c>
      <c r="E214" s="147">
        <v>18980801.65</v>
      </c>
      <c r="F214" s="167">
        <f t="shared" si="19"/>
        <v>43868698.35</v>
      </c>
      <c r="G214" s="147">
        <v>10079707.07</v>
      </c>
      <c r="H214" s="167">
        <v>18812948.01</v>
      </c>
      <c r="I214" s="147">
        <f t="shared" si="20"/>
        <v>44036551.989999995</v>
      </c>
      <c r="J214" s="147">
        <v>14124042.76</v>
      </c>
      <c r="K214" s="162"/>
    </row>
    <row r="215" spans="1:11" ht="12.75">
      <c r="A215" s="140" t="s">
        <v>59</v>
      </c>
      <c r="B215" s="167"/>
      <c r="C215" s="147"/>
      <c r="D215" s="167"/>
      <c r="E215" s="147"/>
      <c r="F215" s="167">
        <f t="shared" si="19"/>
        <v>0</v>
      </c>
      <c r="G215" s="147"/>
      <c r="H215" s="167"/>
      <c r="I215" s="147">
        <f t="shared" si="20"/>
        <v>0</v>
      </c>
      <c r="J215" s="147"/>
      <c r="K215" s="162"/>
    </row>
    <row r="216" spans="1:11" ht="12.75">
      <c r="A216" s="140" t="s">
        <v>60</v>
      </c>
      <c r="B216" s="167">
        <v>43208595</v>
      </c>
      <c r="C216" s="147">
        <v>43670595</v>
      </c>
      <c r="D216" s="167">
        <v>6333144.95</v>
      </c>
      <c r="E216" s="147">
        <v>17545074.88</v>
      </c>
      <c r="F216" s="167">
        <f t="shared" si="19"/>
        <v>26125520.12</v>
      </c>
      <c r="G216" s="147">
        <v>7084016.68</v>
      </c>
      <c r="H216" s="167">
        <v>13369064.58</v>
      </c>
      <c r="I216" s="147">
        <f t="shared" si="20"/>
        <v>30301530.42</v>
      </c>
      <c r="J216" s="147">
        <v>9948380.17</v>
      </c>
      <c r="K216" s="162"/>
    </row>
    <row r="217" spans="1:11" ht="12.75">
      <c r="A217" s="140" t="s">
        <v>61</v>
      </c>
      <c r="B217" s="167">
        <f>SUM(B218:B221)</f>
        <v>0</v>
      </c>
      <c r="C217" s="147">
        <f>SUM(C218:C221)</f>
        <v>0</v>
      </c>
      <c r="D217" s="167">
        <f>SUM(D218:D221)</f>
        <v>0</v>
      </c>
      <c r="E217" s="147">
        <f>SUM(E218:E221)</f>
        <v>0</v>
      </c>
      <c r="F217" s="167">
        <f t="shared" si="19"/>
        <v>0</v>
      </c>
      <c r="G217" s="147">
        <f>SUM(G218:G221)</f>
        <v>0</v>
      </c>
      <c r="H217" s="167">
        <f>SUM(H218:H221)</f>
        <v>0</v>
      </c>
      <c r="I217" s="147">
        <f t="shared" si="20"/>
        <v>0</v>
      </c>
      <c r="J217" s="147">
        <f>SUM(J218:J221)</f>
        <v>0</v>
      </c>
      <c r="K217" s="162">
        <f>SUM(K218:K221)</f>
        <v>0</v>
      </c>
    </row>
    <row r="218" spans="1:11" ht="12.75">
      <c r="A218" s="140" t="s">
        <v>62</v>
      </c>
      <c r="B218" s="167"/>
      <c r="C218" s="147"/>
      <c r="D218" s="167"/>
      <c r="E218" s="147"/>
      <c r="F218" s="167">
        <f t="shared" si="19"/>
        <v>0</v>
      </c>
      <c r="G218" s="147"/>
      <c r="H218" s="167"/>
      <c r="I218" s="147">
        <f t="shared" si="20"/>
        <v>0</v>
      </c>
      <c r="J218" s="147"/>
      <c r="K218" s="162"/>
    </row>
    <row r="219" spans="1:11" ht="11.25" customHeight="1">
      <c r="A219" s="140" t="s">
        <v>63</v>
      </c>
      <c r="B219" s="167"/>
      <c r="C219" s="147"/>
      <c r="D219" s="167"/>
      <c r="E219" s="147"/>
      <c r="F219" s="167">
        <f t="shared" si="19"/>
        <v>0</v>
      </c>
      <c r="G219" s="147"/>
      <c r="H219" s="167"/>
      <c r="I219" s="147">
        <f t="shared" si="20"/>
        <v>0</v>
      </c>
      <c r="J219" s="147"/>
      <c r="K219" s="162"/>
    </row>
    <row r="220" spans="1:11" ht="11.25" customHeight="1">
      <c r="A220" s="140" t="s">
        <v>64</v>
      </c>
      <c r="B220" s="168"/>
      <c r="C220" s="169"/>
      <c r="D220" s="169"/>
      <c r="E220" s="169"/>
      <c r="F220" s="168">
        <f t="shared" si="19"/>
        <v>0</v>
      </c>
      <c r="G220" s="169"/>
      <c r="H220" s="168"/>
      <c r="I220" s="169">
        <f t="shared" si="20"/>
        <v>0</v>
      </c>
      <c r="J220" s="170"/>
      <c r="K220" s="169"/>
    </row>
    <row r="221" spans="1:11" ht="11.25" customHeight="1">
      <c r="A221" s="142" t="s">
        <v>65</v>
      </c>
      <c r="B221" s="171"/>
      <c r="C221" s="172"/>
      <c r="D221" s="172"/>
      <c r="E221" s="172"/>
      <c r="F221" s="171">
        <f t="shared" si="19"/>
        <v>0</v>
      </c>
      <c r="G221" s="172"/>
      <c r="H221" s="171"/>
      <c r="I221" s="172">
        <f t="shared" si="20"/>
        <v>0</v>
      </c>
      <c r="J221" s="173"/>
      <c r="K221" s="172"/>
    </row>
    <row r="222" ht="11.25" customHeight="1">
      <c r="A222" s="91" t="str">
        <f>A131</f>
        <v>FONTE: Sistema CECAM, Unidade Responsável: CONTABILIDADE. Emissão: 13/05/2020, às 13:39:34. Assinado Digitalmente no dia 13/05/2020, às 13:39:34.</v>
      </c>
    </row>
    <row r="223" ht="11.25" customHeight="1">
      <c r="A223" s="91" t="str">
        <f>A132</f>
        <v>1 Essa coluna poderá ser apresentada somente no último bimestre</v>
      </c>
    </row>
    <row r="227" spans="1:10" ht="11.25" customHeight="1">
      <c r="A227" s="73" t="s">
        <v>1056</v>
      </c>
      <c r="B227" s="74"/>
      <c r="C227" s="74"/>
      <c r="D227" s="74" t="s">
        <v>1058</v>
      </c>
      <c r="E227" s="74"/>
      <c r="F227" s="75"/>
      <c r="G227" s="75"/>
      <c r="H227" s="792" t="s">
        <v>1060</v>
      </c>
      <c r="I227" s="792"/>
      <c r="J227" s="78"/>
    </row>
    <row r="228" spans="1:10" ht="11.25" customHeight="1">
      <c r="A228" s="73" t="s">
        <v>1057</v>
      </c>
      <c r="B228" s="75"/>
      <c r="C228" s="75"/>
      <c r="D228" s="74" t="s">
        <v>1059</v>
      </c>
      <c r="E228" s="74"/>
      <c r="F228" s="75"/>
      <c r="G228" s="75"/>
      <c r="H228" s="73" t="s">
        <v>1061</v>
      </c>
      <c r="I228" s="74"/>
      <c r="J228" s="78"/>
    </row>
    <row r="229" spans="4:11" ht="11.25" customHeight="1">
      <c r="D229" s="77" t="s">
        <v>1072</v>
      </c>
      <c r="H229" s="793" t="s">
        <v>1073</v>
      </c>
      <c r="I229" s="793"/>
      <c r="J229" s="144"/>
      <c r="K229" s="144"/>
    </row>
  </sheetData>
  <sheetProtection/>
  <mergeCells count="15">
    <mergeCell ref="H227:I227"/>
    <mergeCell ref="H229:I229"/>
    <mergeCell ref="B18:B20"/>
    <mergeCell ref="D18:G18"/>
    <mergeCell ref="B137:B139"/>
    <mergeCell ref="D137:G137"/>
    <mergeCell ref="K209:K211"/>
    <mergeCell ref="K105:K107"/>
    <mergeCell ref="D209:E209"/>
    <mergeCell ref="G209:H209"/>
    <mergeCell ref="J209:J210"/>
    <mergeCell ref="A131:K131"/>
    <mergeCell ref="D105:E105"/>
    <mergeCell ref="G105:H105"/>
    <mergeCell ref="J105:J10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1" sqref="A1"/>
    </sheetView>
  </sheetViews>
  <sheetFormatPr defaultColWidth="22.28125" defaultRowHeight="11.25" customHeight="1"/>
  <cols>
    <col min="1" max="1" width="48.00390625" style="371" customWidth="1"/>
    <col min="2" max="7" width="21.140625" style="371" customWidth="1"/>
    <col min="8" max="8" width="21.140625" style="374" customWidth="1"/>
    <col min="9" max="16384" width="22.28125" style="371" customWidth="1"/>
  </cols>
  <sheetData>
    <row r="1" spans="1:8" s="367" customFormat="1" ht="12.75">
      <c r="A1" s="366"/>
      <c r="H1" s="363"/>
    </row>
    <row r="2" spans="1:8" s="367" customFormat="1" ht="25.5" customHeight="1">
      <c r="A2" s="368" t="s">
        <v>1051</v>
      </c>
      <c r="H2" s="363"/>
    </row>
    <row r="3" spans="1:8" s="367" customFormat="1" ht="15.75" customHeight="1">
      <c r="A3" s="369" t="s">
        <v>1052</v>
      </c>
      <c r="H3" s="363"/>
    </row>
    <row r="4" spans="1:8" s="367" customFormat="1" ht="15.75" customHeight="1">
      <c r="A4" s="369" t="s">
        <v>1053</v>
      </c>
      <c r="H4" s="363"/>
    </row>
    <row r="5" spans="1:8" s="367" customFormat="1" ht="15.75" customHeight="1">
      <c r="A5" s="369" t="s">
        <v>1054</v>
      </c>
      <c r="H5" s="363"/>
    </row>
    <row r="6" spans="1:8" s="367" customFormat="1" ht="15.75">
      <c r="A6" s="370" t="s">
        <v>344</v>
      </c>
      <c r="B6" s="371"/>
      <c r="C6" s="371"/>
      <c r="D6" s="371"/>
      <c r="E6" s="371"/>
      <c r="F6" s="371"/>
      <c r="H6" s="363"/>
    </row>
    <row r="7" s="367" customFormat="1" ht="12.75">
      <c r="H7" s="363"/>
    </row>
    <row r="8" spans="1:6" ht="12.75">
      <c r="A8" s="372" t="s">
        <v>1051</v>
      </c>
      <c r="B8" s="373"/>
      <c r="C8" s="373"/>
      <c r="D8" s="373"/>
      <c r="E8" s="373"/>
      <c r="F8" s="373"/>
    </row>
    <row r="9" spans="1:8" s="367" customFormat="1" ht="12.75">
      <c r="A9" s="373" t="s">
        <v>68</v>
      </c>
      <c r="B9" s="373"/>
      <c r="C9" s="373"/>
      <c r="D9" s="373"/>
      <c r="E9" s="373"/>
      <c r="F9" s="373"/>
      <c r="H9" s="363"/>
    </row>
    <row r="10" spans="1:8" s="367" customFormat="1" ht="12.75">
      <c r="A10" s="375" t="s">
        <v>196</v>
      </c>
      <c r="B10" s="375"/>
      <c r="C10" s="375"/>
      <c r="D10" s="375"/>
      <c r="E10" s="375"/>
      <c r="F10" s="375"/>
      <c r="G10" s="373"/>
      <c r="H10" s="363"/>
    </row>
    <row r="11" spans="1:8" s="367" customFormat="1" ht="12.75">
      <c r="A11" s="931" t="s">
        <v>70</v>
      </c>
      <c r="B11" s="931"/>
      <c r="C11" s="931"/>
      <c r="D11" s="931"/>
      <c r="E11" s="931"/>
      <c r="F11" s="931"/>
      <c r="G11" s="373"/>
      <c r="H11" s="363"/>
    </row>
    <row r="12" spans="1:8" s="367" customFormat="1" ht="12.75">
      <c r="A12" s="371" t="s">
        <v>1055</v>
      </c>
      <c r="B12" s="187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G12" s="375"/>
      <c r="H12" s="363"/>
    </row>
    <row r="13" spans="1:8" s="367" customFormat="1" ht="12.75" hidden="1">
      <c r="A13" s="931"/>
      <c r="B13" s="931"/>
      <c r="C13" s="931"/>
      <c r="D13" s="931"/>
      <c r="E13" s="931"/>
      <c r="F13" s="931"/>
      <c r="G13" s="373"/>
      <c r="H13" s="363"/>
    </row>
    <row r="14" spans="1:8" s="367" customFormat="1" ht="12.75" hidden="1">
      <c r="A14" s="931"/>
      <c r="B14" s="931"/>
      <c r="C14" s="931"/>
      <c r="D14" s="931"/>
      <c r="E14" s="931"/>
      <c r="F14" s="931"/>
      <c r="G14" s="373"/>
      <c r="H14" s="363"/>
    </row>
    <row r="15" s="367" customFormat="1" ht="12.75">
      <c r="H15" s="363"/>
    </row>
    <row r="16" spans="1:4" s="367" customFormat="1" ht="12.75">
      <c r="A16" s="376" t="s">
        <v>341</v>
      </c>
      <c r="D16" s="377" t="s">
        <v>360</v>
      </c>
    </row>
    <row r="17" spans="1:8" ht="11.25" customHeight="1">
      <c r="A17" s="960" t="s">
        <v>73</v>
      </c>
      <c r="B17" s="378" t="s">
        <v>197</v>
      </c>
      <c r="C17" s="379" t="s">
        <v>72</v>
      </c>
      <c r="D17" s="378" t="s">
        <v>107</v>
      </c>
      <c r="H17" s="371"/>
    </row>
    <row r="18" spans="1:8" ht="11.25" customHeight="1">
      <c r="A18" s="961"/>
      <c r="B18" s="380" t="s">
        <v>79</v>
      </c>
      <c r="C18" s="381" t="s">
        <v>80</v>
      </c>
      <c r="D18" s="380" t="s">
        <v>257</v>
      </c>
      <c r="H18" s="371"/>
    </row>
    <row r="19" spans="1:8" ht="11.25" customHeight="1">
      <c r="A19" s="382" t="s">
        <v>466</v>
      </c>
      <c r="B19" s="28">
        <f>B20+B21+B22+B23</f>
        <v>0</v>
      </c>
      <c r="C19" s="27">
        <f>C20+C21+C22+C23</f>
        <v>0</v>
      </c>
      <c r="D19" s="28">
        <f>B19-C19</f>
        <v>0</v>
      </c>
      <c r="H19" s="371"/>
    </row>
    <row r="20" spans="1:8" ht="11.25" customHeight="1">
      <c r="A20" s="383" t="s">
        <v>616</v>
      </c>
      <c r="B20" s="29"/>
      <c r="C20" s="29"/>
      <c r="D20" s="28">
        <f>B20-C20</f>
        <v>0</v>
      </c>
      <c r="H20" s="371"/>
    </row>
    <row r="21" spans="1:8" ht="11.25" customHeight="1">
      <c r="A21" s="383" t="s">
        <v>617</v>
      </c>
      <c r="B21" s="29">
        <v>0</v>
      </c>
      <c r="C21" s="29">
        <v>0</v>
      </c>
      <c r="D21" s="28">
        <f>B21-C21</f>
        <v>0</v>
      </c>
      <c r="H21" s="371"/>
    </row>
    <row r="22" spans="1:8" ht="11.25" customHeight="1">
      <c r="A22" s="383" t="s">
        <v>892</v>
      </c>
      <c r="B22" s="29">
        <v>0</v>
      </c>
      <c r="C22" s="29"/>
      <c r="D22" s="28">
        <f>B22-C22</f>
        <v>0</v>
      </c>
      <c r="H22" s="371"/>
    </row>
    <row r="23" spans="1:8" ht="11.25" customHeight="1">
      <c r="A23" s="383" t="s">
        <v>893</v>
      </c>
      <c r="B23" s="29">
        <v>0</v>
      </c>
      <c r="C23" s="29"/>
      <c r="D23" s="28">
        <f>B23-C23</f>
        <v>0</v>
      </c>
      <c r="H23" s="371"/>
    </row>
    <row r="24" spans="1:4" s="374" customFormat="1" ht="11.25" customHeight="1">
      <c r="A24" s="384"/>
      <c r="B24" s="385"/>
      <c r="C24" s="385"/>
      <c r="D24" s="385"/>
    </row>
    <row r="25" spans="1:8" ht="11.25" customHeight="1">
      <c r="A25" s="386"/>
      <c r="B25" s="387" t="s">
        <v>198</v>
      </c>
      <c r="C25" s="344" t="s">
        <v>472</v>
      </c>
      <c r="D25" s="388" t="s">
        <v>472</v>
      </c>
      <c r="E25" s="389" t="s">
        <v>598</v>
      </c>
      <c r="F25" s="957" t="s">
        <v>634</v>
      </c>
      <c r="G25" s="379" t="s">
        <v>595</v>
      </c>
      <c r="H25" s="378" t="s">
        <v>846</v>
      </c>
    </row>
    <row r="26" spans="1:8" ht="11.25" customHeight="1">
      <c r="A26" s="390" t="s">
        <v>106</v>
      </c>
      <c r="B26" s="391"/>
      <c r="C26" s="345" t="s">
        <v>473</v>
      </c>
      <c r="D26" s="392" t="s">
        <v>191</v>
      </c>
      <c r="E26" s="393" t="s">
        <v>597</v>
      </c>
      <c r="F26" s="958"/>
      <c r="G26" s="394" t="s">
        <v>596</v>
      </c>
      <c r="H26" s="395"/>
    </row>
    <row r="27" spans="1:8" ht="11.25" customHeight="1">
      <c r="A27" s="396"/>
      <c r="B27" s="397" t="s">
        <v>108</v>
      </c>
      <c r="C27" s="397" t="s">
        <v>109</v>
      </c>
      <c r="D27" s="398"/>
      <c r="E27" s="381" t="s">
        <v>190</v>
      </c>
      <c r="F27" s="959"/>
      <c r="G27" s="381" t="s">
        <v>110</v>
      </c>
      <c r="H27" s="380" t="s">
        <v>845</v>
      </c>
    </row>
    <row r="28" spans="1:8" ht="11.25" customHeight="1">
      <c r="A28" s="399" t="s">
        <v>98</v>
      </c>
      <c r="B28" s="29">
        <f aca="true" t="shared" si="0" ref="B28:G28">B29+B33</f>
        <v>0</v>
      </c>
      <c r="C28" s="29">
        <f t="shared" si="0"/>
        <v>0</v>
      </c>
      <c r="D28" s="29">
        <f t="shared" si="0"/>
        <v>0</v>
      </c>
      <c r="E28" s="29">
        <f t="shared" si="0"/>
        <v>0</v>
      </c>
      <c r="F28" s="29">
        <f t="shared" si="0"/>
        <v>0</v>
      </c>
      <c r="G28" s="29">
        <f t="shared" si="0"/>
        <v>0</v>
      </c>
      <c r="H28" s="28">
        <f>B28-E28</f>
        <v>0</v>
      </c>
    </row>
    <row r="29" spans="1:8" ht="11.25" customHeight="1">
      <c r="A29" s="400" t="s">
        <v>153</v>
      </c>
      <c r="B29" s="29">
        <f aca="true" t="shared" si="1" ref="B29:G29">B30+B31+B32</f>
        <v>0</v>
      </c>
      <c r="C29" s="29">
        <f t="shared" si="1"/>
        <v>0</v>
      </c>
      <c r="D29" s="29">
        <f t="shared" si="1"/>
        <v>0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8">
        <f aca="true" t="shared" si="2" ref="H29:H34">B29-C29</f>
        <v>0</v>
      </c>
    </row>
    <row r="30" spans="1:8" ht="11.25" customHeight="1">
      <c r="A30" s="400" t="s">
        <v>199</v>
      </c>
      <c r="B30" s="29">
        <v>0</v>
      </c>
      <c r="C30" s="29">
        <v>0</v>
      </c>
      <c r="D30" s="29">
        <v>0</v>
      </c>
      <c r="E30" s="29">
        <v>0</v>
      </c>
      <c r="F30" s="29"/>
      <c r="G30" s="29">
        <v>0</v>
      </c>
      <c r="H30" s="28">
        <f t="shared" si="2"/>
        <v>0</v>
      </c>
    </row>
    <row r="31" spans="1:8" ht="11.25" customHeight="1">
      <c r="A31" s="400" t="s">
        <v>200</v>
      </c>
      <c r="B31" s="29"/>
      <c r="C31" s="29"/>
      <c r="D31" s="29"/>
      <c r="E31" s="29"/>
      <c r="F31" s="29"/>
      <c r="G31" s="29"/>
      <c r="H31" s="28">
        <f t="shared" si="2"/>
        <v>0</v>
      </c>
    </row>
    <row r="32" spans="1:8" ht="11.25" customHeight="1">
      <c r="A32" s="400" t="s">
        <v>201</v>
      </c>
      <c r="B32" s="29"/>
      <c r="C32" s="29"/>
      <c r="D32" s="29"/>
      <c r="E32" s="29"/>
      <c r="F32" s="29"/>
      <c r="G32" s="29"/>
      <c r="H32" s="28">
        <f t="shared" si="2"/>
        <v>0</v>
      </c>
    </row>
    <row r="33" spans="1:8" ht="11.25" customHeight="1">
      <c r="A33" s="400" t="s">
        <v>202</v>
      </c>
      <c r="B33" s="29">
        <f aca="true" t="shared" si="3" ref="B33:G33">B34</f>
        <v>0</v>
      </c>
      <c r="C33" s="29">
        <f t="shared" si="3"/>
        <v>0</v>
      </c>
      <c r="D33" s="29">
        <f t="shared" si="3"/>
        <v>0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8">
        <f t="shared" si="2"/>
        <v>0</v>
      </c>
    </row>
    <row r="34" spans="1:8" ht="11.25" customHeight="1">
      <c r="A34" s="400" t="s">
        <v>203</v>
      </c>
      <c r="B34" s="29"/>
      <c r="C34" s="29"/>
      <c r="D34" s="29"/>
      <c r="E34" s="29"/>
      <c r="F34" s="29"/>
      <c r="G34" s="29"/>
      <c r="H34" s="28">
        <f t="shared" si="2"/>
        <v>0</v>
      </c>
    </row>
    <row r="35" spans="1:8" ht="11.25" customHeight="1">
      <c r="A35" s="401"/>
      <c r="B35" s="402"/>
      <c r="C35" s="402"/>
      <c r="D35" s="402"/>
      <c r="E35" s="402"/>
      <c r="F35" s="402"/>
      <c r="G35" s="402"/>
      <c r="H35" s="402"/>
    </row>
    <row r="36" spans="1:9" ht="11.25" customHeight="1">
      <c r="A36" s="962" t="s">
        <v>205</v>
      </c>
      <c r="B36" s="388" t="s">
        <v>5</v>
      </c>
      <c r="C36" s="403" t="s">
        <v>121</v>
      </c>
      <c r="D36" s="388" t="s">
        <v>204</v>
      </c>
      <c r="E36" s="374"/>
      <c r="F36" s="374"/>
      <c r="G36" s="374"/>
      <c r="I36" s="374"/>
    </row>
    <row r="37" spans="1:9" ht="11.25" customHeight="1">
      <c r="A37" s="963"/>
      <c r="B37" s="398" t="s">
        <v>328</v>
      </c>
      <c r="C37" s="404" t="s">
        <v>847</v>
      </c>
      <c r="D37" s="398" t="s">
        <v>848</v>
      </c>
      <c r="E37" s="374"/>
      <c r="F37" s="374"/>
      <c r="G37" s="374"/>
      <c r="I37" s="374"/>
    </row>
    <row r="38" spans="1:9" ht="11.25" customHeight="1">
      <c r="A38" s="405" t="s">
        <v>99</v>
      </c>
      <c r="B38" s="67"/>
      <c r="C38" s="406">
        <f>C19-(E28+G28)</f>
        <v>0</v>
      </c>
      <c r="D38" s="67">
        <f>B38+C38</f>
        <v>0</v>
      </c>
      <c r="E38" s="374"/>
      <c r="F38" s="374"/>
      <c r="G38" s="374"/>
      <c r="I38" s="374"/>
    </row>
    <row r="39" spans="1:13" ht="16.5" customHeight="1">
      <c r="A39" s="964" t="s">
        <v>1069</v>
      </c>
      <c r="B39" s="965"/>
      <c r="C39" s="965"/>
      <c r="D39" s="965"/>
      <c r="E39" s="966"/>
      <c r="F39" s="966"/>
      <c r="G39" s="966"/>
      <c r="H39" s="966"/>
      <c r="I39" s="118"/>
      <c r="J39" s="118"/>
      <c r="K39" s="118"/>
      <c r="L39" s="118"/>
      <c r="M39" s="118"/>
    </row>
    <row r="40" spans="1:8" ht="11.25" customHeight="1">
      <c r="A40" s="967"/>
      <c r="B40" s="967"/>
      <c r="C40" s="967"/>
      <c r="D40" s="967"/>
      <c r="E40" s="967"/>
      <c r="F40" s="967"/>
      <c r="G40" s="967"/>
      <c r="H40" s="967"/>
    </row>
    <row r="41" spans="1:8" ht="11.25" customHeight="1">
      <c r="A41" s="968"/>
      <c r="B41" s="968"/>
      <c r="C41" s="968"/>
      <c r="D41" s="968"/>
      <c r="E41" s="968"/>
      <c r="F41" s="968"/>
      <c r="G41" s="968"/>
      <c r="H41" s="968"/>
    </row>
    <row r="42" spans="1:8" ht="11.25" customHeight="1">
      <c r="A42" s="956"/>
      <c r="B42" s="956"/>
      <c r="C42" s="956"/>
      <c r="D42" s="956"/>
      <c r="E42" s="956"/>
      <c r="F42" s="956"/>
      <c r="G42" s="956"/>
      <c r="H42" s="956"/>
    </row>
    <row r="43" spans="1:8" ht="11.25" customHeight="1">
      <c r="A43" s="956"/>
      <c r="B43" s="956"/>
      <c r="C43" s="956"/>
      <c r="D43" s="956"/>
      <c r="E43" s="956"/>
      <c r="F43" s="956"/>
      <c r="G43" s="956"/>
      <c r="H43" s="956"/>
    </row>
    <row r="45" spans="1:8" ht="11.25" customHeight="1">
      <c r="A45" s="939" t="s">
        <v>1056</v>
      </c>
      <c r="B45" s="939"/>
      <c r="C45" s="941" t="s">
        <v>1058</v>
      </c>
      <c r="D45" s="941"/>
      <c r="E45" s="941"/>
      <c r="F45" s="943" t="s">
        <v>1060</v>
      </c>
      <c r="G45" s="943"/>
      <c r="H45" s="943"/>
    </row>
    <row r="46" spans="1:8" ht="11.25" customHeight="1">
      <c r="A46" s="939" t="s">
        <v>1057</v>
      </c>
      <c r="B46" s="939"/>
      <c r="C46" s="941" t="s">
        <v>1059</v>
      </c>
      <c r="D46" s="941"/>
      <c r="E46" s="941"/>
      <c r="F46" s="943" t="s">
        <v>1061</v>
      </c>
      <c r="G46" s="943"/>
      <c r="H46" s="943"/>
    </row>
  </sheetData>
  <sheetProtection/>
  <mergeCells count="17">
    <mergeCell ref="F25:F27"/>
    <mergeCell ref="A17:A18"/>
    <mergeCell ref="A11:F11"/>
    <mergeCell ref="A13:F13"/>
    <mergeCell ref="A14:F14"/>
    <mergeCell ref="A43:H43"/>
    <mergeCell ref="A36:A37"/>
    <mergeCell ref="A39:H39"/>
    <mergeCell ref="A40:H40"/>
    <mergeCell ref="A41:H41"/>
    <mergeCell ref="A42:H42"/>
    <mergeCell ref="A45:B45"/>
    <mergeCell ref="A46:B46"/>
    <mergeCell ref="C45:E45"/>
    <mergeCell ref="C46:E46"/>
    <mergeCell ref="F45:H45"/>
    <mergeCell ref="F46:H46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scale="73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8.421875" style="4" customWidth="1"/>
    <col min="2" max="10" width="14.8515625" style="4" customWidth="1"/>
    <col min="11" max="16384" width="9.140625" style="4" customWidth="1"/>
  </cols>
  <sheetData>
    <row r="2" ht="25.5" customHeight="1">
      <c r="A2" s="251" t="s">
        <v>1051</v>
      </c>
    </row>
    <row r="3" ht="15.75" customHeight="1">
      <c r="A3" s="252" t="s">
        <v>1052</v>
      </c>
    </row>
    <row r="4" ht="15.75" customHeight="1">
      <c r="A4" s="252" t="s">
        <v>1053</v>
      </c>
    </row>
    <row r="5" ht="15.75" customHeight="1">
      <c r="A5" s="252" t="s">
        <v>1054</v>
      </c>
    </row>
    <row r="6" spans="1:5" ht="15.75">
      <c r="A6" s="42" t="s">
        <v>623</v>
      </c>
      <c r="B6" s="306"/>
      <c r="C6" s="306"/>
      <c r="D6" s="306"/>
      <c r="E6" s="306"/>
    </row>
    <row r="7" spans="1:5" ht="12.75">
      <c r="A7" s="87"/>
      <c r="B7" s="87"/>
      <c r="C7" s="87"/>
      <c r="D7" s="87"/>
      <c r="E7" s="87"/>
    </row>
    <row r="8" spans="1:7" ht="12.75">
      <c r="A8" s="185" t="s">
        <v>1051</v>
      </c>
      <c r="B8" s="83"/>
      <c r="C8" s="83"/>
      <c r="D8" s="83"/>
      <c r="E8" s="83"/>
      <c r="F8" s="83"/>
      <c r="G8" s="83"/>
    </row>
    <row r="9" spans="1:7" ht="12.75">
      <c r="A9" s="83" t="s">
        <v>68</v>
      </c>
      <c r="B9" s="83"/>
      <c r="C9" s="83"/>
      <c r="D9" s="83"/>
      <c r="E9" s="83"/>
      <c r="F9" s="83"/>
      <c r="G9" s="83"/>
    </row>
    <row r="10" spans="1:7" ht="12.75">
      <c r="A10" s="46" t="s">
        <v>351</v>
      </c>
      <c r="B10" s="46"/>
      <c r="C10" s="46"/>
      <c r="D10" s="46"/>
      <c r="E10" s="46"/>
      <c r="F10" s="46"/>
      <c r="G10" s="46"/>
    </row>
    <row r="11" spans="1:7" ht="12.75">
      <c r="A11" s="807" t="s">
        <v>70</v>
      </c>
      <c r="B11" s="807"/>
      <c r="C11" s="807"/>
      <c r="D11" s="807"/>
      <c r="E11" s="807"/>
      <c r="F11" s="807"/>
      <c r="G11" s="807"/>
    </row>
    <row r="12" spans="1:7" ht="12.75">
      <c r="A12" s="183" t="s">
        <v>1055</v>
      </c>
      <c r="B12" s="187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87"/>
      <c r="D12" s="87"/>
      <c r="E12" s="87"/>
      <c r="F12" s="87"/>
      <c r="G12" s="87"/>
    </row>
    <row r="13" spans="1:7" ht="12.75" hidden="1">
      <c r="A13" s="807"/>
      <c r="B13" s="807"/>
      <c r="C13" s="807"/>
      <c r="D13" s="807"/>
      <c r="E13" s="807"/>
      <c r="F13" s="807"/>
      <c r="G13" s="807"/>
    </row>
    <row r="14" spans="1:7" ht="12.75" hidden="1">
      <c r="A14" s="807"/>
      <c r="B14" s="807"/>
      <c r="C14" s="807"/>
      <c r="D14" s="807"/>
      <c r="E14" s="807"/>
      <c r="F14" s="807"/>
      <c r="G14" s="807"/>
    </row>
    <row r="15" spans="1:5" ht="12.75">
      <c r="A15" s="87"/>
      <c r="B15" s="87"/>
      <c r="C15" s="87"/>
      <c r="D15" s="87"/>
      <c r="E15" s="87"/>
    </row>
    <row r="16" spans="1:5" ht="12.75">
      <c r="A16" s="4" t="s">
        <v>358</v>
      </c>
      <c r="B16" s="62"/>
      <c r="C16" s="62"/>
      <c r="D16" s="62"/>
      <c r="E16" s="53">
        <v>1</v>
      </c>
    </row>
    <row r="17" spans="1:5" ht="12.75">
      <c r="A17" s="970" t="s">
        <v>352</v>
      </c>
      <c r="B17" s="227" t="s">
        <v>71</v>
      </c>
      <c r="C17" s="227" t="s">
        <v>71</v>
      </c>
      <c r="D17" s="984" t="s">
        <v>72</v>
      </c>
      <c r="E17" s="985"/>
    </row>
    <row r="18" spans="1:5" ht="12.75">
      <c r="A18" s="971"/>
      <c r="B18" s="230" t="s">
        <v>74</v>
      </c>
      <c r="C18" s="230" t="s">
        <v>75</v>
      </c>
      <c r="D18" s="307" t="str">
        <f>CONCATENATE("Até o  ",B12)</f>
        <v>Até o  Bimestre</v>
      </c>
      <c r="E18" s="227" t="s">
        <v>77</v>
      </c>
    </row>
    <row r="19" spans="1:7" ht="12.75">
      <c r="A19" s="972"/>
      <c r="B19" s="308"/>
      <c r="C19" s="309" t="s">
        <v>79</v>
      </c>
      <c r="D19" s="309" t="s">
        <v>80</v>
      </c>
      <c r="E19" s="230" t="s">
        <v>170</v>
      </c>
      <c r="G19" s="51"/>
    </row>
    <row r="20" spans="1:7" ht="12.75">
      <c r="A20" s="310" t="s">
        <v>949</v>
      </c>
      <c r="B20" s="148">
        <f>B21+B24+B27+B30</f>
        <v>285950000</v>
      </c>
      <c r="C20" s="148">
        <f>C21+C24+C27+C30</f>
        <v>285950000</v>
      </c>
      <c r="D20" s="148">
        <f>D21+D24+D27+D30</f>
        <v>112387206.75</v>
      </c>
      <c r="E20" s="148">
        <f aca="true" t="shared" si="0" ref="E20:E40">IF(C20&gt;0,D20/C20,0)</f>
        <v>0.3930309730722154</v>
      </c>
      <c r="G20" s="51"/>
    </row>
    <row r="21" spans="1:7" ht="12.75">
      <c r="A21" s="311" t="s">
        <v>937</v>
      </c>
      <c r="B21" s="312">
        <f>SUM(B22:B23)</f>
        <v>125856000</v>
      </c>
      <c r="C21" s="312">
        <f>SUM(C22:C23)</f>
        <v>125856000</v>
      </c>
      <c r="D21" s="312">
        <f>SUM(D22:D23)</f>
        <v>54088699.53</v>
      </c>
      <c r="E21" s="312">
        <f t="shared" si="0"/>
        <v>0.4297665548722349</v>
      </c>
      <c r="F21" s="118"/>
      <c r="G21" s="51"/>
    </row>
    <row r="22" spans="1:7" ht="12.75">
      <c r="A22" s="313" t="s">
        <v>938</v>
      </c>
      <c r="B22" s="147">
        <v>109000000</v>
      </c>
      <c r="C22" s="147">
        <v>109000000</v>
      </c>
      <c r="D22" s="147">
        <v>48161658.04</v>
      </c>
      <c r="E22" s="147">
        <f t="shared" si="0"/>
        <v>0.4418500737614679</v>
      </c>
      <c r="F22" s="314"/>
      <c r="G22" s="51"/>
    </row>
    <row r="23" spans="1:7" ht="12.75">
      <c r="A23" s="313" t="s">
        <v>939</v>
      </c>
      <c r="B23" s="147">
        <v>16856000</v>
      </c>
      <c r="C23" s="147">
        <v>16856000</v>
      </c>
      <c r="D23" s="147">
        <v>5927041.49</v>
      </c>
      <c r="E23" s="147">
        <f t="shared" si="0"/>
        <v>0.35162799537256767</v>
      </c>
      <c r="F23" s="314"/>
      <c r="G23" s="51"/>
    </row>
    <row r="24" spans="1:7" ht="12.75">
      <c r="A24" s="313" t="s">
        <v>940</v>
      </c>
      <c r="B24" s="147">
        <f>SUM(B25:B26)</f>
        <v>26394000</v>
      </c>
      <c r="C24" s="147">
        <f>SUM(C25:C26)</f>
        <v>26394000</v>
      </c>
      <c r="D24" s="147">
        <f>SUM(D25:D26)</f>
        <v>15511902.120000001</v>
      </c>
      <c r="E24" s="147">
        <f t="shared" si="0"/>
        <v>0.5877056194589679</v>
      </c>
      <c r="F24" s="314"/>
      <c r="G24" s="51"/>
    </row>
    <row r="25" spans="1:7" ht="12.75">
      <c r="A25" s="313" t="s">
        <v>941</v>
      </c>
      <c r="B25" s="147">
        <v>26000000</v>
      </c>
      <c r="C25" s="147">
        <v>26000000</v>
      </c>
      <c r="D25" s="147">
        <v>15222665.32</v>
      </c>
      <c r="E25" s="147">
        <f t="shared" si="0"/>
        <v>0.5854871276923077</v>
      </c>
      <c r="F25" s="314"/>
      <c r="G25" s="51"/>
    </row>
    <row r="26" spans="1:7" ht="12.75">
      <c r="A26" s="313" t="s">
        <v>942</v>
      </c>
      <c r="B26" s="147">
        <v>394000</v>
      </c>
      <c r="C26" s="147">
        <v>394000</v>
      </c>
      <c r="D26" s="147">
        <v>289236.8</v>
      </c>
      <c r="E26" s="147">
        <f t="shared" si="0"/>
        <v>0.7341035532994924</v>
      </c>
      <c r="F26" s="314"/>
      <c r="G26" s="51"/>
    </row>
    <row r="27" spans="1:7" ht="12.75">
      <c r="A27" s="313" t="s">
        <v>943</v>
      </c>
      <c r="B27" s="147">
        <f>SUM(B28:B29)</f>
        <v>95900000</v>
      </c>
      <c r="C27" s="147">
        <f>SUM(C28:C29)</f>
        <v>95900000</v>
      </c>
      <c r="D27" s="147">
        <f>SUM(D28:D29)</f>
        <v>32545829.1</v>
      </c>
      <c r="E27" s="147">
        <f t="shared" si="0"/>
        <v>0.3393725662148071</v>
      </c>
      <c r="F27" s="314"/>
      <c r="G27" s="51"/>
    </row>
    <row r="28" spans="1:7" ht="12.75">
      <c r="A28" s="313" t="s">
        <v>944</v>
      </c>
      <c r="B28" s="147">
        <v>90400000</v>
      </c>
      <c r="C28" s="147">
        <v>90400000</v>
      </c>
      <c r="D28" s="147">
        <v>31119668.77</v>
      </c>
      <c r="E28" s="147">
        <f t="shared" si="0"/>
        <v>0.3442441235619469</v>
      </c>
      <c r="F28" s="314"/>
      <c r="G28" s="51"/>
    </row>
    <row r="29" spans="1:7" ht="12.75">
      <c r="A29" s="313" t="s">
        <v>945</v>
      </c>
      <c r="B29" s="147">
        <v>5500000</v>
      </c>
      <c r="C29" s="147">
        <v>5500000</v>
      </c>
      <c r="D29" s="147">
        <v>1426160.33</v>
      </c>
      <c r="E29" s="147">
        <f t="shared" si="0"/>
        <v>0.2593018781818182</v>
      </c>
      <c r="F29" s="314"/>
      <c r="G29" s="51"/>
    </row>
    <row r="30" spans="1:7" ht="12.75">
      <c r="A30" s="313" t="s">
        <v>962</v>
      </c>
      <c r="B30" s="147">
        <v>37800000</v>
      </c>
      <c r="C30" s="147">
        <v>37800000</v>
      </c>
      <c r="D30" s="147">
        <v>10240776</v>
      </c>
      <c r="E30" s="147">
        <f t="shared" si="0"/>
        <v>0.27092</v>
      </c>
      <c r="F30" s="314"/>
      <c r="G30" s="51"/>
    </row>
    <row r="31" spans="1:7" ht="12.75">
      <c r="A31" s="5" t="s">
        <v>483</v>
      </c>
      <c r="B31" s="147">
        <f>SUM(B32:B37)</f>
        <v>401001000</v>
      </c>
      <c r="C31" s="147">
        <f>SUM(C32:C37)</f>
        <v>401001000</v>
      </c>
      <c r="D31" s="147">
        <f>SUM(D32:D37)</f>
        <v>157996941.27</v>
      </c>
      <c r="E31" s="147">
        <f t="shared" si="0"/>
        <v>0.3940063522784233</v>
      </c>
      <c r="G31" s="51"/>
    </row>
    <row r="32" spans="1:5" ht="12.75">
      <c r="A32" s="5" t="s">
        <v>560</v>
      </c>
      <c r="B32" s="147">
        <v>71000000</v>
      </c>
      <c r="C32" s="147">
        <v>71000000</v>
      </c>
      <c r="D32" s="147">
        <v>24737776.66</v>
      </c>
      <c r="E32" s="147">
        <f t="shared" si="0"/>
        <v>0.34841938957746477</v>
      </c>
    </row>
    <row r="33" spans="1:5" ht="12.75">
      <c r="A33" s="5" t="s">
        <v>561</v>
      </c>
      <c r="B33" s="147">
        <v>1200000</v>
      </c>
      <c r="C33" s="147">
        <v>1200000</v>
      </c>
      <c r="D33" s="147">
        <v>22124.87</v>
      </c>
      <c r="E33" s="147">
        <f t="shared" si="0"/>
        <v>0.018437391666666667</v>
      </c>
    </row>
    <row r="34" spans="1:5" ht="12.75">
      <c r="A34" s="5" t="s">
        <v>562</v>
      </c>
      <c r="B34" s="147">
        <v>65000000</v>
      </c>
      <c r="C34" s="147">
        <v>65000000</v>
      </c>
      <c r="D34" s="147">
        <v>49460331.59</v>
      </c>
      <c r="E34" s="147">
        <f t="shared" si="0"/>
        <v>0.7609281783076923</v>
      </c>
    </row>
    <row r="35" spans="1:5" ht="12.75">
      <c r="A35" s="5" t="s">
        <v>563</v>
      </c>
      <c r="B35" s="147">
        <v>262000000</v>
      </c>
      <c r="C35" s="147">
        <v>262000000</v>
      </c>
      <c r="D35" s="147">
        <v>83196063.4</v>
      </c>
      <c r="E35" s="147">
        <f t="shared" si="0"/>
        <v>0.3175422267175573</v>
      </c>
    </row>
    <row r="36" spans="1:5" ht="12.75">
      <c r="A36" s="5" t="s">
        <v>354</v>
      </c>
      <c r="B36" s="147">
        <v>1800000</v>
      </c>
      <c r="C36" s="147">
        <v>1800000</v>
      </c>
      <c r="D36" s="147">
        <v>580644.75</v>
      </c>
      <c r="E36" s="147">
        <f t="shared" si="0"/>
        <v>0.32258041666666665</v>
      </c>
    </row>
    <row r="37" spans="1:5" ht="12.75">
      <c r="A37" s="5" t="s">
        <v>355</v>
      </c>
      <c r="B37" s="147">
        <f>SUM(B38:B39)</f>
        <v>1000</v>
      </c>
      <c r="C37" s="147">
        <f>SUM(C38:C39)</f>
        <v>1000</v>
      </c>
      <c r="D37" s="147">
        <f>SUM(D38:D39)</f>
        <v>0</v>
      </c>
      <c r="E37" s="147">
        <f t="shared" si="0"/>
        <v>0</v>
      </c>
    </row>
    <row r="38" spans="1:5" ht="12.75">
      <c r="A38" s="5" t="s">
        <v>356</v>
      </c>
      <c r="B38" s="147">
        <v>1000</v>
      </c>
      <c r="C38" s="147">
        <v>1000</v>
      </c>
      <c r="D38" s="147">
        <v>0</v>
      </c>
      <c r="E38" s="147">
        <f t="shared" si="0"/>
        <v>0</v>
      </c>
    </row>
    <row r="39" spans="1:5" ht="12.75">
      <c r="A39" s="17" t="s">
        <v>357</v>
      </c>
      <c r="B39" s="152"/>
      <c r="C39" s="152"/>
      <c r="D39" s="152"/>
      <c r="E39" s="152">
        <f t="shared" si="0"/>
        <v>0</v>
      </c>
    </row>
    <row r="40" spans="1:5" ht="21.75">
      <c r="A40" s="315" t="s">
        <v>950</v>
      </c>
      <c r="B40" s="150">
        <f>B20+B31</f>
        <v>686951000</v>
      </c>
      <c r="C40" s="150">
        <f>C20+C31</f>
        <v>686951000</v>
      </c>
      <c r="D40" s="150">
        <f>D20+D31</f>
        <v>270384148.02</v>
      </c>
      <c r="E40" s="152">
        <f t="shared" si="0"/>
        <v>0.3936003412470467</v>
      </c>
    </row>
    <row r="41" spans="1:8" ht="12.75">
      <c r="A41" s="197"/>
      <c r="B41" s="316"/>
      <c r="C41" s="197"/>
      <c r="D41" s="197"/>
      <c r="E41" s="197"/>
      <c r="F41" s="197"/>
      <c r="G41" s="197"/>
      <c r="H41" s="87"/>
    </row>
    <row r="42" spans="1:10" ht="31.5" customHeight="1">
      <c r="A42" s="317" t="s">
        <v>951</v>
      </c>
      <c r="B42" s="227" t="s">
        <v>103</v>
      </c>
      <c r="C42" s="227" t="s">
        <v>103</v>
      </c>
      <c r="D42" s="969" t="s">
        <v>104</v>
      </c>
      <c r="E42" s="983"/>
      <c r="F42" s="969" t="s">
        <v>105</v>
      </c>
      <c r="G42" s="983"/>
      <c r="H42" s="969" t="s">
        <v>946</v>
      </c>
      <c r="I42" s="983"/>
      <c r="J42" s="978" t="s">
        <v>637</v>
      </c>
    </row>
    <row r="43" spans="1:10" ht="12.75">
      <c r="A43" s="318" t="s">
        <v>208</v>
      </c>
      <c r="B43" s="230" t="s">
        <v>74</v>
      </c>
      <c r="C43" s="230" t="s">
        <v>75</v>
      </c>
      <c r="D43" s="227" t="str">
        <f>CONCATENATE("Até o  ",B12)</f>
        <v>Até o  Bimestre</v>
      </c>
      <c r="E43" s="319" t="s">
        <v>77</v>
      </c>
      <c r="F43" s="227" t="str">
        <f>CONCATENATE("Até o  ",B12)</f>
        <v>Até o  Bimestre</v>
      </c>
      <c r="G43" s="319" t="s">
        <v>77</v>
      </c>
      <c r="H43" s="227" t="str">
        <f>CONCATENATE("Até o  ",B12)</f>
        <v>Até o  Bimestre</v>
      </c>
      <c r="I43" s="319" t="s">
        <v>77</v>
      </c>
      <c r="J43" s="979"/>
    </row>
    <row r="44" spans="1:10" ht="12.75">
      <c r="A44" s="318"/>
      <c r="B44" s="320"/>
      <c r="C44" s="230" t="s">
        <v>100</v>
      </c>
      <c r="D44" s="230" t="s">
        <v>108</v>
      </c>
      <c r="E44" s="242" t="s">
        <v>171</v>
      </c>
      <c r="F44" s="230" t="s">
        <v>109</v>
      </c>
      <c r="G44" s="242" t="s">
        <v>947</v>
      </c>
      <c r="H44" s="230" t="s">
        <v>190</v>
      </c>
      <c r="I44" s="242" t="s">
        <v>948</v>
      </c>
      <c r="J44" s="321" t="s">
        <v>110</v>
      </c>
    </row>
    <row r="45" spans="1:10" ht="12.75">
      <c r="A45" s="322" t="s">
        <v>952</v>
      </c>
      <c r="B45" s="148">
        <f>SUM(B46:B47)</f>
        <v>36739000</v>
      </c>
      <c r="C45" s="148">
        <f>SUM(C46:C47)</f>
        <v>37960000</v>
      </c>
      <c r="D45" s="148">
        <f>SUM(D46:D47)</f>
        <v>12747224.89</v>
      </c>
      <c r="E45" s="148">
        <f aca="true" t="shared" si="1" ref="E45:E66">IF(C45&gt;0,D45/C45,0)</f>
        <v>0.3358067673867229</v>
      </c>
      <c r="F45" s="148">
        <f>SUM(F46:F47)</f>
        <v>11665560.75</v>
      </c>
      <c r="G45" s="148">
        <f aca="true" t="shared" si="2" ref="G45:G66">IF(E45&gt;0,F45/E45,0)</f>
        <v>34738909.048148125</v>
      </c>
      <c r="H45" s="148">
        <f>SUM(H46:H47)</f>
        <v>9051833.43</v>
      </c>
      <c r="I45" s="148">
        <f aca="true" t="shared" si="3" ref="I45:I66">IF(G45&gt;0,H45/G45,0)</f>
        <v>0.26056757906398725</v>
      </c>
      <c r="J45" s="148">
        <f>SUM(J46:J47)</f>
        <v>0</v>
      </c>
    </row>
    <row r="46" spans="1:10" ht="12.75">
      <c r="A46" s="21" t="s">
        <v>953</v>
      </c>
      <c r="B46" s="174">
        <v>36338000</v>
      </c>
      <c r="C46" s="174">
        <v>37507000</v>
      </c>
      <c r="D46" s="174">
        <v>12580711.81</v>
      </c>
      <c r="E46" s="174">
        <f t="shared" si="1"/>
        <v>0.3354230359666196</v>
      </c>
      <c r="F46" s="174">
        <v>11507099.17</v>
      </c>
      <c r="G46" s="147">
        <f t="shared" si="2"/>
        <v>34306228.064625695</v>
      </c>
      <c r="H46" s="147">
        <v>8893371.85</v>
      </c>
      <c r="I46" s="147">
        <f t="shared" si="3"/>
        <v>0.25923490723744863</v>
      </c>
      <c r="J46" s="147"/>
    </row>
    <row r="47" spans="1:10" ht="12.75">
      <c r="A47" s="21" t="s">
        <v>954</v>
      </c>
      <c r="B47" s="174">
        <v>401000</v>
      </c>
      <c r="C47" s="174">
        <v>453000</v>
      </c>
      <c r="D47" s="174">
        <v>166513.08</v>
      </c>
      <c r="E47" s="174">
        <f t="shared" si="1"/>
        <v>0.36757854304635756</v>
      </c>
      <c r="F47" s="174">
        <v>158461.58</v>
      </c>
      <c r="G47" s="147">
        <f t="shared" si="2"/>
        <v>431095.83787652</v>
      </c>
      <c r="H47" s="147">
        <v>158461.58</v>
      </c>
      <c r="I47" s="147">
        <f t="shared" si="3"/>
        <v>0.36757854304635756</v>
      </c>
      <c r="J47" s="147"/>
    </row>
    <row r="48" spans="1:10" ht="12.75">
      <c r="A48" s="323" t="s">
        <v>955</v>
      </c>
      <c r="B48" s="147">
        <f>SUM(B49:B50)</f>
        <v>118987000</v>
      </c>
      <c r="C48" s="147">
        <f>SUM(C49:C50)</f>
        <v>121310728</v>
      </c>
      <c r="D48" s="147">
        <f>SUM(D49:D50)</f>
        <v>53150653.660000004</v>
      </c>
      <c r="E48" s="147">
        <f t="shared" si="1"/>
        <v>0.4381364660510487</v>
      </c>
      <c r="F48" s="147">
        <f>SUM(F49:F50)</f>
        <v>34255010.440000005</v>
      </c>
      <c r="G48" s="147">
        <f t="shared" si="2"/>
        <v>78183427.0695214</v>
      </c>
      <c r="H48" s="147">
        <f>SUM(H49:H50)</f>
        <v>28410657.48</v>
      </c>
      <c r="I48" s="147">
        <f t="shared" si="3"/>
        <v>0.3633846525394313</v>
      </c>
      <c r="J48" s="147">
        <f>SUM(J49:J50)</f>
        <v>0</v>
      </c>
    </row>
    <row r="49" spans="1:10" ht="12.75">
      <c r="A49" s="21" t="s">
        <v>953</v>
      </c>
      <c r="B49" s="174">
        <v>118913000</v>
      </c>
      <c r="C49" s="174">
        <v>119654978</v>
      </c>
      <c r="D49" s="174">
        <v>52920942.57</v>
      </c>
      <c r="E49" s="174">
        <f t="shared" si="1"/>
        <v>0.44227948936650174</v>
      </c>
      <c r="F49" s="174">
        <v>34194480.84</v>
      </c>
      <c r="G49" s="147">
        <f t="shared" si="2"/>
        <v>77314190.82756564</v>
      </c>
      <c r="H49" s="147">
        <v>28350127.88</v>
      </c>
      <c r="I49" s="147">
        <f t="shared" si="3"/>
        <v>0.36668724818228365</v>
      </c>
      <c r="J49" s="147"/>
    </row>
    <row r="50" spans="1:10" ht="12.75">
      <c r="A50" s="21" t="s">
        <v>956</v>
      </c>
      <c r="B50" s="174">
        <v>74000</v>
      </c>
      <c r="C50" s="174">
        <v>1655750</v>
      </c>
      <c r="D50" s="174">
        <v>229711.09</v>
      </c>
      <c r="E50" s="174">
        <f t="shared" si="1"/>
        <v>0.1387353706779405</v>
      </c>
      <c r="F50" s="174">
        <v>60529.6</v>
      </c>
      <c r="G50" s="147">
        <f t="shared" si="2"/>
        <v>436295.3708504017</v>
      </c>
      <c r="H50" s="147">
        <v>60529.6</v>
      </c>
      <c r="I50" s="147">
        <f t="shared" si="3"/>
        <v>0.1387353706779405</v>
      </c>
      <c r="J50" s="147"/>
    </row>
    <row r="51" spans="1:10" ht="12.75">
      <c r="A51" s="323" t="s">
        <v>957</v>
      </c>
      <c r="B51" s="147">
        <f>SUM(B52:B53)</f>
        <v>11089000</v>
      </c>
      <c r="C51" s="147">
        <f>SUM(C52:C53)</f>
        <v>11430200</v>
      </c>
      <c r="D51" s="147">
        <f>SUM(D52:D53)</f>
        <v>6933515.590000001</v>
      </c>
      <c r="E51" s="147">
        <f t="shared" si="1"/>
        <v>0.6065961741701809</v>
      </c>
      <c r="F51" s="147">
        <f>SUM(F52:F53)</f>
        <v>5218552.94</v>
      </c>
      <c r="G51" s="147">
        <f t="shared" si="2"/>
        <v>8603009.979644107</v>
      </c>
      <c r="H51" s="147">
        <f>SUM(H52:H53)</f>
        <v>3490405.77</v>
      </c>
      <c r="I51" s="147">
        <f t="shared" si="3"/>
        <v>0.40571913530947606</v>
      </c>
      <c r="J51" s="147">
        <f>SUM(J52:J53)</f>
        <v>0</v>
      </c>
    </row>
    <row r="52" spans="1:10" ht="12.75">
      <c r="A52" s="21" t="s">
        <v>953</v>
      </c>
      <c r="B52" s="174">
        <v>11079000</v>
      </c>
      <c r="C52" s="174">
        <v>11420200</v>
      </c>
      <c r="D52" s="174">
        <v>6930351.65</v>
      </c>
      <c r="E52" s="174">
        <f t="shared" si="1"/>
        <v>0.6068502872103816</v>
      </c>
      <c r="F52" s="174">
        <v>5215389</v>
      </c>
      <c r="G52" s="147">
        <f t="shared" si="2"/>
        <v>8594193.83975992</v>
      </c>
      <c r="H52" s="147">
        <v>3487241.83</v>
      </c>
      <c r="I52" s="147">
        <f t="shared" si="3"/>
        <v>0.4057671836381825</v>
      </c>
      <c r="J52" s="147"/>
    </row>
    <row r="53" spans="1:10" ht="12.75">
      <c r="A53" s="21" t="s">
        <v>956</v>
      </c>
      <c r="B53" s="174">
        <v>10000</v>
      </c>
      <c r="C53" s="174">
        <v>10000</v>
      </c>
      <c r="D53" s="174">
        <v>3163.94</v>
      </c>
      <c r="E53" s="174">
        <f t="shared" si="1"/>
        <v>0.316394</v>
      </c>
      <c r="F53" s="174">
        <v>3163.94</v>
      </c>
      <c r="G53" s="147">
        <f t="shared" si="2"/>
        <v>10000</v>
      </c>
      <c r="H53" s="147">
        <v>3163.94</v>
      </c>
      <c r="I53" s="147">
        <f t="shared" si="3"/>
        <v>0.316394</v>
      </c>
      <c r="J53" s="147"/>
    </row>
    <row r="54" spans="1:10" ht="12.75">
      <c r="A54" s="323" t="s">
        <v>958</v>
      </c>
      <c r="B54" s="147">
        <f>SUM(B55:B56)</f>
        <v>1702100</v>
      </c>
      <c r="C54" s="147">
        <f>SUM(C55:C56)</f>
        <v>1742033</v>
      </c>
      <c r="D54" s="147">
        <f>SUM(D55:D56)</f>
        <v>203715.72</v>
      </c>
      <c r="E54" s="147">
        <f t="shared" si="1"/>
        <v>0.11694136678237439</v>
      </c>
      <c r="F54" s="147">
        <f>SUM(F55:F56)</f>
        <v>203715.72</v>
      </c>
      <c r="G54" s="147">
        <f t="shared" si="2"/>
        <v>1742033</v>
      </c>
      <c r="H54" s="147">
        <f>SUM(H55:H56)</f>
        <v>155130.08</v>
      </c>
      <c r="I54" s="147">
        <f t="shared" si="3"/>
        <v>0.08905117182051085</v>
      </c>
      <c r="J54" s="147">
        <f>SUM(J55:J56)</f>
        <v>0</v>
      </c>
    </row>
    <row r="55" spans="1:10" ht="12.75">
      <c r="A55" s="21" t="s">
        <v>953</v>
      </c>
      <c r="B55" s="174">
        <v>1702100</v>
      </c>
      <c r="C55" s="174">
        <v>1742033</v>
      </c>
      <c r="D55" s="174">
        <v>203715.72</v>
      </c>
      <c r="E55" s="174">
        <f t="shared" si="1"/>
        <v>0.11694136678237439</v>
      </c>
      <c r="F55" s="174">
        <v>203715.72</v>
      </c>
      <c r="G55" s="147">
        <f t="shared" si="2"/>
        <v>1742033</v>
      </c>
      <c r="H55" s="147">
        <v>155130.08</v>
      </c>
      <c r="I55" s="147">
        <f t="shared" si="3"/>
        <v>0.08905117182051085</v>
      </c>
      <c r="J55" s="147"/>
    </row>
    <row r="56" spans="1:10" ht="12.75">
      <c r="A56" s="21" t="s">
        <v>956</v>
      </c>
      <c r="B56" s="174"/>
      <c r="C56" s="174"/>
      <c r="D56" s="174"/>
      <c r="E56" s="174">
        <f t="shared" si="1"/>
        <v>0</v>
      </c>
      <c r="F56" s="174"/>
      <c r="G56" s="147">
        <f t="shared" si="2"/>
        <v>0</v>
      </c>
      <c r="H56" s="147"/>
      <c r="I56" s="147">
        <f t="shared" si="3"/>
        <v>0</v>
      </c>
      <c r="J56" s="147"/>
    </row>
    <row r="57" spans="1:10" ht="12.75">
      <c r="A57" s="323" t="s">
        <v>959</v>
      </c>
      <c r="B57" s="147">
        <f>SUM(B58:B59)</f>
        <v>3315000</v>
      </c>
      <c r="C57" s="147">
        <f>SUM(C58:C59)</f>
        <v>4040000</v>
      </c>
      <c r="D57" s="147">
        <f>SUM(D58:D59)</f>
        <v>582677</v>
      </c>
      <c r="E57" s="147">
        <f t="shared" si="1"/>
        <v>0.1442269801980198</v>
      </c>
      <c r="F57" s="147">
        <f>SUM(F58:F59)</f>
        <v>551162.8899999999</v>
      </c>
      <c r="G57" s="147">
        <f t="shared" si="2"/>
        <v>3821496.430440878</v>
      </c>
      <c r="H57" s="147">
        <f>SUM(H58:H59)</f>
        <v>393049.82</v>
      </c>
      <c r="I57" s="147">
        <f t="shared" si="3"/>
        <v>0.10285233210453494</v>
      </c>
      <c r="J57" s="147">
        <f>SUM(J58:J59)</f>
        <v>0</v>
      </c>
    </row>
    <row r="58" spans="1:10" ht="12.75">
      <c r="A58" s="21" t="s">
        <v>953</v>
      </c>
      <c r="B58" s="174">
        <v>3245000</v>
      </c>
      <c r="C58" s="174">
        <v>3275000</v>
      </c>
      <c r="D58" s="174">
        <v>558590.38</v>
      </c>
      <c r="E58" s="174">
        <f t="shared" si="1"/>
        <v>0.17056194809160305</v>
      </c>
      <c r="F58" s="174">
        <v>531780.57</v>
      </c>
      <c r="G58" s="147">
        <f t="shared" si="2"/>
        <v>3117814.823001427</v>
      </c>
      <c r="H58" s="147">
        <v>373667.5</v>
      </c>
      <c r="I58" s="147">
        <f t="shared" si="3"/>
        <v>0.11984916398603862</v>
      </c>
      <c r="J58" s="147"/>
    </row>
    <row r="59" spans="1:10" ht="12.75">
      <c r="A59" s="21" t="s">
        <v>956</v>
      </c>
      <c r="B59" s="174">
        <v>70000</v>
      </c>
      <c r="C59" s="174">
        <v>765000</v>
      </c>
      <c r="D59" s="174">
        <v>24086.62</v>
      </c>
      <c r="E59" s="174">
        <f t="shared" si="1"/>
        <v>0.03148577777777778</v>
      </c>
      <c r="F59" s="174">
        <v>19382.32</v>
      </c>
      <c r="G59" s="147">
        <f t="shared" si="2"/>
        <v>615589.6842313284</v>
      </c>
      <c r="H59" s="147">
        <v>19382.32</v>
      </c>
      <c r="I59" s="147">
        <f t="shared" si="3"/>
        <v>0.03148577777777778</v>
      </c>
      <c r="J59" s="147"/>
    </row>
    <row r="60" spans="1:10" ht="12.75">
      <c r="A60" s="323" t="s">
        <v>960</v>
      </c>
      <c r="B60" s="147">
        <f>SUM(B61:B62)</f>
        <v>0</v>
      </c>
      <c r="C60" s="147">
        <f>SUM(C61:C62)</f>
        <v>0</v>
      </c>
      <c r="D60" s="147">
        <f>SUM(D61:D62)</f>
        <v>0</v>
      </c>
      <c r="E60" s="147">
        <f t="shared" si="1"/>
        <v>0</v>
      </c>
      <c r="F60" s="147">
        <f>SUM(F61:F62)</f>
        <v>0</v>
      </c>
      <c r="G60" s="147">
        <f t="shared" si="2"/>
        <v>0</v>
      </c>
      <c r="H60" s="147">
        <f>SUM(H61:H62)</f>
        <v>0</v>
      </c>
      <c r="I60" s="147">
        <f t="shared" si="3"/>
        <v>0</v>
      </c>
      <c r="J60" s="147">
        <f>SUM(J61:J62)</f>
        <v>0</v>
      </c>
    </row>
    <row r="61" spans="1:10" ht="12.75">
      <c r="A61" s="21" t="s">
        <v>953</v>
      </c>
      <c r="B61" s="174"/>
      <c r="C61" s="174"/>
      <c r="D61" s="174"/>
      <c r="E61" s="174">
        <f t="shared" si="1"/>
        <v>0</v>
      </c>
      <c r="F61" s="174"/>
      <c r="G61" s="147">
        <f t="shared" si="2"/>
        <v>0</v>
      </c>
      <c r="H61" s="147"/>
      <c r="I61" s="147">
        <f t="shared" si="3"/>
        <v>0</v>
      </c>
      <c r="J61" s="147"/>
    </row>
    <row r="62" spans="1:10" ht="12.75">
      <c r="A62" s="21" t="s">
        <v>956</v>
      </c>
      <c r="B62" s="174"/>
      <c r="C62" s="174"/>
      <c r="D62" s="174"/>
      <c r="E62" s="174">
        <f t="shared" si="1"/>
        <v>0</v>
      </c>
      <c r="F62" s="174"/>
      <c r="G62" s="147">
        <f t="shared" si="2"/>
        <v>0</v>
      </c>
      <c r="H62" s="147"/>
      <c r="I62" s="147">
        <f t="shared" si="3"/>
        <v>0</v>
      </c>
      <c r="J62" s="147"/>
    </row>
    <row r="63" spans="1:10" ht="12.75">
      <c r="A63" s="323" t="s">
        <v>961</v>
      </c>
      <c r="B63" s="147">
        <f>SUM(B64:B65)</f>
        <v>15316000</v>
      </c>
      <c r="C63" s="147">
        <f>SUM(C64:C65)</f>
        <v>17945730</v>
      </c>
      <c r="D63" s="147">
        <f>SUM(D64:D65)</f>
        <v>7695161.52</v>
      </c>
      <c r="E63" s="147">
        <f t="shared" si="1"/>
        <v>0.4288018107928738</v>
      </c>
      <c r="F63" s="147">
        <f>SUM(F64:F65)</f>
        <v>5034476.47</v>
      </c>
      <c r="G63" s="147">
        <f t="shared" si="2"/>
        <v>11740800.396087475</v>
      </c>
      <c r="H63" s="147">
        <f>SUM(H64:H65)</f>
        <v>4106163.69</v>
      </c>
      <c r="I63" s="147">
        <f t="shared" si="3"/>
        <v>0.3497345625063471</v>
      </c>
      <c r="J63" s="147">
        <f>SUM(J64:J65)</f>
        <v>0</v>
      </c>
    </row>
    <row r="64" spans="1:10" ht="12.75">
      <c r="A64" s="21" t="s">
        <v>953</v>
      </c>
      <c r="B64" s="174">
        <v>15236000</v>
      </c>
      <c r="C64" s="174">
        <v>17555730</v>
      </c>
      <c r="D64" s="174">
        <v>7381445.52</v>
      </c>
      <c r="E64" s="174">
        <f t="shared" si="1"/>
        <v>0.42045790861445237</v>
      </c>
      <c r="F64" s="174">
        <v>4720760.47</v>
      </c>
      <c r="G64" s="147">
        <f t="shared" si="2"/>
        <v>11227664.822755896</v>
      </c>
      <c r="H64" s="147">
        <v>3792447.69</v>
      </c>
      <c r="I64" s="147">
        <f t="shared" si="3"/>
        <v>0.337777066724826</v>
      </c>
      <c r="J64" s="147"/>
    </row>
    <row r="65" spans="1:10" ht="12.75">
      <c r="A65" s="22" t="s">
        <v>956</v>
      </c>
      <c r="B65" s="175">
        <v>80000</v>
      </c>
      <c r="C65" s="175">
        <v>390000</v>
      </c>
      <c r="D65" s="175">
        <v>313716</v>
      </c>
      <c r="E65" s="175">
        <f t="shared" si="1"/>
        <v>0.8044</v>
      </c>
      <c r="F65" s="175">
        <v>313716</v>
      </c>
      <c r="G65" s="152">
        <f t="shared" si="2"/>
        <v>390000</v>
      </c>
      <c r="H65" s="152">
        <v>313716</v>
      </c>
      <c r="I65" s="152">
        <f t="shared" si="3"/>
        <v>0.8044</v>
      </c>
      <c r="J65" s="152"/>
    </row>
    <row r="66" spans="1:10" ht="12.75">
      <c r="A66" s="324" t="s">
        <v>1048</v>
      </c>
      <c r="B66" s="325">
        <f>B45+B48+B51+B54+B57+B60+B63</f>
        <v>187148100</v>
      </c>
      <c r="C66" s="325">
        <f>C45+C48+C51+C54+C57+C60+C63</f>
        <v>194428691</v>
      </c>
      <c r="D66" s="325">
        <f>D45+D48+D51+D54+D57+D60+D63</f>
        <v>81312948.38</v>
      </c>
      <c r="E66" s="325">
        <f t="shared" si="1"/>
        <v>0.418214760186808</v>
      </c>
      <c r="F66" s="325">
        <f>F45+F48+F51+F54+F57+F60+F63</f>
        <v>56928479.21</v>
      </c>
      <c r="G66" s="325">
        <f t="shared" si="2"/>
        <v>136122596.8795822</v>
      </c>
      <c r="H66" s="325">
        <f>H45+H48+H51+H54+H57+H60+H63</f>
        <v>45607240.269999996</v>
      </c>
      <c r="I66" s="325">
        <f t="shared" si="3"/>
        <v>0.33504532910392104</v>
      </c>
      <c r="J66" s="325">
        <f>J45+J48+J51+J54+J57+J60+J63</f>
        <v>0</v>
      </c>
    </row>
    <row r="67" spans="1:8" ht="12.75">
      <c r="A67" s="197"/>
      <c r="B67" s="316"/>
      <c r="C67" s="197"/>
      <c r="D67" s="197"/>
      <c r="E67" s="197"/>
      <c r="F67" s="197"/>
      <c r="G67" s="197"/>
      <c r="H67" s="87"/>
    </row>
    <row r="68" spans="1:4" ht="12.75">
      <c r="A68" s="970" t="s">
        <v>963</v>
      </c>
      <c r="B68" s="970" t="s">
        <v>104</v>
      </c>
      <c r="C68" s="970" t="s">
        <v>105</v>
      </c>
      <c r="D68" s="970" t="s">
        <v>946</v>
      </c>
    </row>
    <row r="69" spans="1:4" ht="12.75">
      <c r="A69" s="971"/>
      <c r="B69" s="971"/>
      <c r="C69" s="971"/>
      <c r="D69" s="971"/>
    </row>
    <row r="70" spans="1:4" ht="13.5" thickBot="1">
      <c r="A70" s="972"/>
      <c r="B70" s="230" t="s">
        <v>108</v>
      </c>
      <c r="C70" s="230" t="s">
        <v>109</v>
      </c>
      <c r="D70" s="230" t="s">
        <v>190</v>
      </c>
    </row>
    <row r="71" spans="1:4" ht="12.75">
      <c r="A71" s="23" t="s">
        <v>964</v>
      </c>
      <c r="B71" s="148">
        <f>D66</f>
        <v>81312948.38</v>
      </c>
      <c r="C71" s="146">
        <f>F66</f>
        <v>56928479.21</v>
      </c>
      <c r="D71" s="148">
        <f>H66</f>
        <v>45607240.269999996</v>
      </c>
    </row>
    <row r="72" spans="1:4" ht="25.5">
      <c r="A72" s="24" t="s">
        <v>965</v>
      </c>
      <c r="B72" s="147">
        <v>0</v>
      </c>
      <c r="C72" s="145">
        <v>0</v>
      </c>
      <c r="D72" s="147">
        <v>0</v>
      </c>
    </row>
    <row r="73" spans="1:4" ht="25.5">
      <c r="A73" s="24" t="s">
        <v>966</v>
      </c>
      <c r="B73" s="147"/>
      <c r="C73" s="145"/>
      <c r="D73" s="147"/>
    </row>
    <row r="74" spans="1:4" ht="25.5">
      <c r="A74" s="25" t="s">
        <v>967</v>
      </c>
      <c r="B74" s="147"/>
      <c r="C74" s="145"/>
      <c r="D74" s="147"/>
    </row>
    <row r="75" spans="1:4" ht="12.75">
      <c r="A75" s="324" t="s">
        <v>968</v>
      </c>
      <c r="B75" s="326">
        <f>B71-B72-B73-B74</f>
        <v>81312948.38</v>
      </c>
      <c r="C75" s="326">
        <f>C71-C72-C73-C74</f>
        <v>56928479.21</v>
      </c>
      <c r="D75" s="326">
        <f>D71-D72-D73-D74</f>
        <v>45607240.269999996</v>
      </c>
    </row>
    <row r="76" spans="1:6" ht="12.75">
      <c r="A76" s="327" t="s">
        <v>969</v>
      </c>
      <c r="B76" s="148">
        <f>ROUND(D40*15/100,2)</f>
        <v>40557622.2</v>
      </c>
      <c r="C76" s="148">
        <f>ROUND(D40*15/100,2)</f>
        <v>40557622.2</v>
      </c>
      <c r="D76" s="148">
        <f>ROUND(D40*15/100,2)</f>
        <v>40557622.2</v>
      </c>
      <c r="E76" s="197"/>
      <c r="F76" s="87"/>
    </row>
    <row r="77" spans="1:6" ht="12.75">
      <c r="A77" s="328" t="s">
        <v>970</v>
      </c>
      <c r="B77" s="147">
        <f>ROUND(D41*15/100,2)</f>
        <v>0</v>
      </c>
      <c r="C77" s="147">
        <f>ROUND(D41*15/100,2)</f>
        <v>0</v>
      </c>
      <c r="D77" s="147">
        <f>ROUND(D41*15/100,2)</f>
        <v>0</v>
      </c>
      <c r="E77" s="197"/>
      <c r="F77" s="87"/>
    </row>
    <row r="78" spans="1:6" ht="13.5">
      <c r="A78" s="328" t="s">
        <v>971</v>
      </c>
      <c r="B78" s="147">
        <f>B75-B76</f>
        <v>40755326.17999999</v>
      </c>
      <c r="C78" s="147">
        <f>C75-C76</f>
        <v>16370857.009999998</v>
      </c>
      <c r="D78" s="147">
        <f>D75-D76</f>
        <v>5049618.069999993</v>
      </c>
      <c r="E78" s="197"/>
      <c r="F78" s="87"/>
    </row>
    <row r="79" spans="1:6" ht="12.75">
      <c r="A79" s="329" t="s">
        <v>972</v>
      </c>
      <c r="B79" s="152">
        <f>IF(B78&lt;0,B78*-1,0)</f>
        <v>0</v>
      </c>
      <c r="C79" s="164"/>
      <c r="D79" s="165"/>
      <c r="E79" s="197"/>
      <c r="F79" s="87"/>
    </row>
    <row r="80" spans="1:6" ht="42.75">
      <c r="A80" s="330" t="s">
        <v>973</v>
      </c>
      <c r="B80" s="325">
        <f>IF(D40&gt;0,B75/D40*100,0)</f>
        <v>30.073119661580673</v>
      </c>
      <c r="C80" s="325">
        <f>IF(D40&gt;0,C75/D40*100,0)</f>
        <v>21.054665973165363</v>
      </c>
      <c r="D80" s="165"/>
      <c r="E80" s="197"/>
      <c r="F80" s="87"/>
    </row>
    <row r="81" spans="1:8" ht="12.75">
      <c r="A81" s="197"/>
      <c r="B81" s="331"/>
      <c r="C81" s="332"/>
      <c r="D81" s="332"/>
      <c r="E81" s="197"/>
      <c r="F81" s="197"/>
      <c r="G81" s="197"/>
      <c r="H81" s="87"/>
    </row>
    <row r="82" spans="1:7" ht="31.5" customHeight="1">
      <c r="A82" s="980" t="s">
        <v>974</v>
      </c>
      <c r="B82" s="970" t="s">
        <v>983</v>
      </c>
      <c r="C82" s="973" t="s">
        <v>979</v>
      </c>
      <c r="D82" s="974"/>
      <c r="E82" s="975"/>
      <c r="F82" s="970" t="s">
        <v>984</v>
      </c>
      <c r="G82" s="87"/>
    </row>
    <row r="83" spans="1:7" ht="12.75">
      <c r="A83" s="981"/>
      <c r="B83" s="971"/>
      <c r="C83" s="296" t="s">
        <v>982</v>
      </c>
      <c r="D83" s="333" t="s">
        <v>981</v>
      </c>
      <c r="E83" s="334" t="s">
        <v>980</v>
      </c>
      <c r="F83" s="971"/>
      <c r="G83" s="87"/>
    </row>
    <row r="84" spans="1:7" ht="12.75">
      <c r="A84" s="982"/>
      <c r="B84" s="298" t="s">
        <v>111</v>
      </c>
      <c r="C84" s="298" t="s">
        <v>328</v>
      </c>
      <c r="D84" s="335" t="s">
        <v>326</v>
      </c>
      <c r="E84" s="297" t="s">
        <v>327</v>
      </c>
      <c r="F84" s="336" t="s">
        <v>985</v>
      </c>
      <c r="G84" s="87"/>
    </row>
    <row r="85" spans="1:7" ht="12.75">
      <c r="A85" s="10" t="s">
        <v>975</v>
      </c>
      <c r="B85" s="164"/>
      <c r="C85" s="164"/>
      <c r="D85" s="164"/>
      <c r="E85" s="164"/>
      <c r="F85" s="148">
        <f>B79</f>
        <v>0</v>
      </c>
      <c r="G85" s="87"/>
    </row>
    <row r="86" spans="1:7" ht="12.75">
      <c r="A86" s="11" t="s">
        <v>976</v>
      </c>
      <c r="B86" s="145"/>
      <c r="C86" s="145"/>
      <c r="D86" s="147"/>
      <c r="E86" s="147"/>
      <c r="F86" s="147"/>
      <c r="G86" s="87"/>
    </row>
    <row r="87" spans="1:7" ht="12.75">
      <c r="A87" s="11" t="s">
        <v>977</v>
      </c>
      <c r="B87" s="145"/>
      <c r="C87" s="145"/>
      <c r="D87" s="147"/>
      <c r="E87" s="147"/>
      <c r="F87" s="147"/>
      <c r="G87" s="87"/>
    </row>
    <row r="88" spans="1:7" ht="12.75">
      <c r="A88" s="324" t="s">
        <v>978</v>
      </c>
      <c r="B88" s="337">
        <f>B86+B87</f>
        <v>0</v>
      </c>
      <c r="C88" s="337">
        <f>C86+C87</f>
        <v>0</v>
      </c>
      <c r="D88" s="337">
        <f>D86+D87</f>
        <v>0</v>
      </c>
      <c r="E88" s="337">
        <f>E86+E87</f>
        <v>0</v>
      </c>
      <c r="F88" s="337">
        <f>F86+F87</f>
        <v>0</v>
      </c>
      <c r="G88" s="87"/>
    </row>
    <row r="89" spans="1:8" ht="12.75">
      <c r="A89" s="197"/>
      <c r="B89" s="316"/>
      <c r="C89" s="197"/>
      <c r="D89" s="197"/>
      <c r="E89" s="197"/>
      <c r="F89" s="197"/>
      <c r="G89" s="197"/>
      <c r="H89" s="87"/>
    </row>
    <row r="90" spans="1:10" ht="21" customHeight="1">
      <c r="A90" s="977" t="s">
        <v>986</v>
      </c>
      <c r="B90" s="987"/>
      <c r="C90" s="987"/>
      <c r="D90" s="987"/>
      <c r="E90" s="987"/>
      <c r="F90" s="987"/>
      <c r="G90" s="987"/>
      <c r="H90" s="987"/>
      <c r="I90" s="987"/>
      <c r="J90" s="987"/>
    </row>
    <row r="91" spans="1:10" ht="71.25" customHeight="1">
      <c r="A91" s="976" t="s">
        <v>987</v>
      </c>
      <c r="B91" s="333" t="s">
        <v>990</v>
      </c>
      <c r="C91" s="333" t="s">
        <v>992</v>
      </c>
      <c r="D91" s="333" t="s">
        <v>994</v>
      </c>
      <c r="E91" s="333" t="s">
        <v>996</v>
      </c>
      <c r="F91" s="333" t="s">
        <v>997</v>
      </c>
      <c r="G91" s="333" t="s">
        <v>999</v>
      </c>
      <c r="H91" s="333" t="s">
        <v>1001</v>
      </c>
      <c r="I91" s="333" t="s">
        <v>1003</v>
      </c>
      <c r="J91" s="333" t="s">
        <v>1006</v>
      </c>
    </row>
    <row r="92" spans="1:10" ht="27" customHeight="1">
      <c r="A92" s="977"/>
      <c r="B92" s="298" t="s">
        <v>350</v>
      </c>
      <c r="C92" s="298" t="s">
        <v>991</v>
      </c>
      <c r="D92" s="298" t="s">
        <v>993</v>
      </c>
      <c r="E92" s="298" t="s">
        <v>995</v>
      </c>
      <c r="F92" s="298" t="s">
        <v>998</v>
      </c>
      <c r="G92" s="298" t="s">
        <v>1000</v>
      </c>
      <c r="H92" s="298" t="s">
        <v>1002</v>
      </c>
      <c r="I92" s="298" t="s">
        <v>1004</v>
      </c>
      <c r="J92" s="335" t="s">
        <v>1005</v>
      </c>
    </row>
    <row r="93" spans="1:10" ht="12.75">
      <c r="A93" s="9" t="s">
        <v>349</v>
      </c>
      <c r="B93" s="146">
        <f>B76</f>
        <v>40557622.2</v>
      </c>
      <c r="C93" s="148">
        <f>B75</f>
        <v>81312948.38</v>
      </c>
      <c r="D93" s="148">
        <f>IF(B79&gt;0,B79,0)</f>
        <v>0</v>
      </c>
      <c r="E93" s="148">
        <f>D66-H66</f>
        <v>35705708.11</v>
      </c>
      <c r="F93" s="148">
        <f>B72</f>
        <v>0</v>
      </c>
      <c r="G93" s="148">
        <f aca="true" t="shared" si="4" ref="G93:G98">E93-D93-F93</f>
        <v>35705708.11</v>
      </c>
      <c r="H93" s="164"/>
      <c r="I93" s="148">
        <f>E93</f>
        <v>35705708.11</v>
      </c>
      <c r="J93" s="165"/>
    </row>
    <row r="94" spans="1:10" ht="12.75">
      <c r="A94" s="8" t="s">
        <v>635</v>
      </c>
      <c r="B94" s="145">
        <v>0</v>
      </c>
      <c r="C94" s="147">
        <v>0</v>
      </c>
      <c r="D94" s="147">
        <v>0</v>
      </c>
      <c r="E94" s="147">
        <v>16057501.8</v>
      </c>
      <c r="F94" s="147">
        <v>0</v>
      </c>
      <c r="G94" s="147">
        <f t="shared" si="4"/>
        <v>16057501.8</v>
      </c>
      <c r="H94" s="147">
        <v>15332820.06</v>
      </c>
      <c r="I94" s="147">
        <f>E94-H94-J94</f>
        <v>570593.9300000002</v>
      </c>
      <c r="J94" s="147">
        <v>154087.81</v>
      </c>
    </row>
    <row r="95" spans="1:10" ht="12.75">
      <c r="A95" s="8" t="s">
        <v>636</v>
      </c>
      <c r="B95" s="145">
        <v>0</v>
      </c>
      <c r="C95" s="147">
        <v>0</v>
      </c>
      <c r="D95" s="147">
        <v>0</v>
      </c>
      <c r="E95" s="147">
        <v>13342566.79</v>
      </c>
      <c r="F95" s="147">
        <v>0</v>
      </c>
      <c r="G95" s="147">
        <f t="shared" si="4"/>
        <v>13342566.79</v>
      </c>
      <c r="H95" s="147">
        <v>12625365.35</v>
      </c>
      <c r="I95" s="147">
        <f>E95-H95-J95</f>
        <v>0</v>
      </c>
      <c r="J95" s="147">
        <v>717201.44</v>
      </c>
    </row>
    <row r="96" spans="1:10" ht="12.75">
      <c r="A96" s="8" t="s">
        <v>988</v>
      </c>
      <c r="B96" s="145">
        <v>0</v>
      </c>
      <c r="C96" s="147">
        <v>0</v>
      </c>
      <c r="D96" s="147">
        <v>0</v>
      </c>
      <c r="E96" s="147">
        <v>8716784.55</v>
      </c>
      <c r="F96" s="147">
        <v>0</v>
      </c>
      <c r="G96" s="147">
        <f t="shared" si="4"/>
        <v>8716784.55</v>
      </c>
      <c r="H96" s="147">
        <v>8494201.83</v>
      </c>
      <c r="I96" s="147">
        <f>E96-H96-J96</f>
        <v>6.693881005048752E-10</v>
      </c>
      <c r="J96" s="147">
        <v>222582.72</v>
      </c>
    </row>
    <row r="97" spans="1:10" ht="12.75">
      <c r="A97" s="8" t="s">
        <v>482</v>
      </c>
      <c r="B97" s="145">
        <v>0</v>
      </c>
      <c r="C97" s="147">
        <v>0</v>
      </c>
      <c r="D97" s="147">
        <v>0</v>
      </c>
      <c r="E97" s="147">
        <v>7045104.57</v>
      </c>
      <c r="F97" s="147">
        <v>0</v>
      </c>
      <c r="G97" s="147">
        <f t="shared" si="4"/>
        <v>7045104.57</v>
      </c>
      <c r="H97" s="147">
        <v>6770287.15</v>
      </c>
      <c r="I97" s="147">
        <f>E97-H97-J97</f>
        <v>0</v>
      </c>
      <c r="J97" s="147">
        <v>274817.42</v>
      </c>
    </row>
    <row r="98" spans="1:10" ht="12.75">
      <c r="A98" s="338" t="s">
        <v>989</v>
      </c>
      <c r="B98" s="151">
        <v>0</v>
      </c>
      <c r="C98" s="152">
        <v>0</v>
      </c>
      <c r="D98" s="152">
        <v>0</v>
      </c>
      <c r="E98" s="152">
        <v>0</v>
      </c>
      <c r="F98" s="152">
        <v>0</v>
      </c>
      <c r="G98" s="152">
        <f t="shared" si="4"/>
        <v>0</v>
      </c>
      <c r="H98" s="152">
        <v>0</v>
      </c>
      <c r="I98" s="152">
        <f>E98-H98-J98</f>
        <v>0</v>
      </c>
      <c r="J98" s="152">
        <v>0</v>
      </c>
    </row>
    <row r="99" spans="1:8" ht="12.75">
      <c r="A99" s="197"/>
      <c r="B99" s="316"/>
      <c r="C99" s="197"/>
      <c r="D99" s="197"/>
      <c r="E99" s="197"/>
      <c r="F99" s="197"/>
      <c r="G99" s="197"/>
      <c r="H99" s="87"/>
    </row>
    <row r="100" spans="1:8" ht="12.75">
      <c r="A100" s="197"/>
      <c r="B100" s="316"/>
      <c r="C100" s="197"/>
      <c r="D100" s="197"/>
      <c r="E100" s="197"/>
      <c r="F100" s="197"/>
      <c r="G100" s="197"/>
      <c r="H100" s="87"/>
    </row>
    <row r="101" spans="1:8" ht="12.75">
      <c r="A101" s="197"/>
      <c r="B101" s="316"/>
      <c r="C101" s="197"/>
      <c r="D101" s="197"/>
      <c r="E101" s="197"/>
      <c r="F101" s="197"/>
      <c r="G101" s="197"/>
      <c r="H101" s="87"/>
    </row>
    <row r="102" spans="1:8" ht="12.75">
      <c r="A102" s="197"/>
      <c r="B102" s="316"/>
      <c r="C102" s="197"/>
      <c r="D102" s="197"/>
      <c r="E102" s="197"/>
      <c r="F102" s="197"/>
      <c r="G102" s="197"/>
      <c r="H102" s="87"/>
    </row>
    <row r="103" spans="1:8" ht="21">
      <c r="A103" s="339" t="s">
        <v>1007</v>
      </c>
      <c r="B103" s="325">
        <v>0</v>
      </c>
      <c r="C103" s="197"/>
      <c r="D103" s="197"/>
      <c r="E103" s="197"/>
      <c r="F103" s="197"/>
      <c r="G103" s="197"/>
      <c r="H103" s="87"/>
    </row>
    <row r="104" spans="1:8" ht="21">
      <c r="A104" s="339" t="s">
        <v>1008</v>
      </c>
      <c r="B104" s="325"/>
      <c r="C104" s="197"/>
      <c r="D104" s="197"/>
      <c r="E104" s="197"/>
      <c r="F104" s="197"/>
      <c r="G104" s="197"/>
      <c r="H104" s="87"/>
    </row>
    <row r="105" spans="1:8" ht="21">
      <c r="A105" s="339" t="s">
        <v>1009</v>
      </c>
      <c r="B105" s="325">
        <f>B103-B104</f>
        <v>0</v>
      </c>
      <c r="C105" s="197"/>
      <c r="D105" s="197"/>
      <c r="E105" s="197"/>
      <c r="F105" s="197"/>
      <c r="G105" s="197"/>
      <c r="H105" s="87"/>
    </row>
    <row r="106" spans="1:8" ht="12.75">
      <c r="A106" s="197"/>
      <c r="B106" s="316"/>
      <c r="C106" s="197"/>
      <c r="D106" s="197"/>
      <c r="E106" s="197"/>
      <c r="F106" s="197"/>
      <c r="G106" s="197"/>
      <c r="H106" s="87"/>
    </row>
    <row r="107" spans="1:8" ht="31.5" customHeight="1">
      <c r="A107" s="980" t="s">
        <v>1010</v>
      </c>
      <c r="B107" s="970" t="s">
        <v>983</v>
      </c>
      <c r="C107" s="973" t="s">
        <v>979</v>
      </c>
      <c r="D107" s="974"/>
      <c r="E107" s="975"/>
      <c r="F107" s="970" t="s">
        <v>984</v>
      </c>
      <c r="G107" s="197"/>
      <c r="H107" s="87"/>
    </row>
    <row r="108" spans="1:8" ht="12.75">
      <c r="A108" s="981"/>
      <c r="B108" s="971"/>
      <c r="C108" s="296" t="s">
        <v>982</v>
      </c>
      <c r="D108" s="333" t="s">
        <v>981</v>
      </c>
      <c r="E108" s="334" t="s">
        <v>980</v>
      </c>
      <c r="F108" s="971"/>
      <c r="G108" s="197"/>
      <c r="H108" s="87"/>
    </row>
    <row r="109" spans="1:8" ht="24.75" customHeight="1">
      <c r="A109" s="982"/>
      <c r="B109" s="298" t="s">
        <v>1012</v>
      </c>
      <c r="C109" s="298" t="s">
        <v>1013</v>
      </c>
      <c r="D109" s="335" t="s">
        <v>1014</v>
      </c>
      <c r="E109" s="297" t="s">
        <v>1015</v>
      </c>
      <c r="F109" s="335" t="s">
        <v>1016</v>
      </c>
      <c r="G109" s="197"/>
      <c r="H109" s="87"/>
    </row>
    <row r="110" spans="1:8" ht="12.75">
      <c r="A110" s="10" t="s">
        <v>975</v>
      </c>
      <c r="B110" s="145"/>
      <c r="C110" s="145"/>
      <c r="D110" s="147"/>
      <c r="E110" s="147"/>
      <c r="F110" s="147">
        <f>B110-C110</f>
        <v>0</v>
      </c>
      <c r="G110" s="197"/>
      <c r="H110" s="87"/>
    </row>
    <row r="111" spans="1:8" ht="12.75">
      <c r="A111" s="11" t="s">
        <v>976</v>
      </c>
      <c r="B111" s="145"/>
      <c r="C111" s="145"/>
      <c r="D111" s="147"/>
      <c r="E111" s="147"/>
      <c r="F111" s="147">
        <f>B111-C111</f>
        <v>0</v>
      </c>
      <c r="G111" s="197"/>
      <c r="H111" s="87"/>
    </row>
    <row r="112" spans="1:8" ht="12.75">
      <c r="A112" s="11" t="s">
        <v>977</v>
      </c>
      <c r="B112" s="145"/>
      <c r="C112" s="145"/>
      <c r="D112" s="147"/>
      <c r="E112" s="147"/>
      <c r="F112" s="147">
        <f>B112-C112</f>
        <v>0</v>
      </c>
      <c r="G112" s="197"/>
      <c r="H112" s="87"/>
    </row>
    <row r="113" spans="1:8" ht="12.75">
      <c r="A113" s="324" t="s">
        <v>1011</v>
      </c>
      <c r="B113" s="325">
        <f>SUM(B110:B112)</f>
        <v>0</v>
      </c>
      <c r="C113" s="325">
        <f>SUM(C110:C112)</f>
        <v>0</v>
      </c>
      <c r="D113" s="325">
        <f>SUM(D110:D112)</f>
        <v>0</v>
      </c>
      <c r="E113" s="325">
        <f>SUM(E110:E112)</f>
        <v>0</v>
      </c>
      <c r="F113" s="325">
        <f>SUM(F110:F112)</f>
        <v>0</v>
      </c>
      <c r="G113" s="197"/>
      <c r="H113" s="87"/>
    </row>
    <row r="114" spans="1:8" ht="12.75">
      <c r="A114" s="197"/>
      <c r="B114" s="316"/>
      <c r="C114" s="197"/>
      <c r="D114" s="197"/>
      <c r="E114" s="197"/>
      <c r="F114" s="197"/>
      <c r="G114" s="197"/>
      <c r="H114" s="87"/>
    </row>
    <row r="115" spans="1:5" ht="12.75">
      <c r="A115" s="970" t="s">
        <v>1020</v>
      </c>
      <c r="B115" s="227" t="s">
        <v>71</v>
      </c>
      <c r="C115" s="227" t="s">
        <v>71</v>
      </c>
      <c r="D115" s="984" t="s">
        <v>72</v>
      </c>
      <c r="E115" s="985"/>
    </row>
    <row r="116" spans="1:5" ht="12.75">
      <c r="A116" s="971"/>
      <c r="B116" s="230" t="s">
        <v>74</v>
      </c>
      <c r="C116" s="230" t="s">
        <v>75</v>
      </c>
      <c r="D116" s="307" t="str">
        <f>CONCATENATE("Até o  ",B12)</f>
        <v>Até o  Bimestre</v>
      </c>
      <c r="E116" s="227" t="s">
        <v>77</v>
      </c>
    </row>
    <row r="117" spans="1:5" ht="12.75">
      <c r="A117" s="972"/>
      <c r="B117" s="308"/>
      <c r="C117" s="309" t="s">
        <v>100</v>
      </c>
      <c r="D117" s="309" t="s">
        <v>108</v>
      </c>
      <c r="E117" s="230" t="s">
        <v>171</v>
      </c>
    </row>
    <row r="118" spans="1:5" ht="12.75">
      <c r="A118" s="6" t="s">
        <v>1017</v>
      </c>
      <c r="B118" s="176">
        <f>SUM(B119:B121)</f>
        <v>51702000</v>
      </c>
      <c r="C118" s="176">
        <f>SUM(C119:C121)</f>
        <v>56779315.48</v>
      </c>
      <c r="D118" s="176">
        <f>SUM(D119:D121)</f>
        <v>21978315.169999998</v>
      </c>
      <c r="E118" s="155">
        <f aca="true" t="shared" si="5" ref="E118:E124">IF(C118&gt;0,D118/C118,0)</f>
        <v>0.3870831302596746</v>
      </c>
    </row>
    <row r="119" spans="1:5" ht="12.75">
      <c r="A119" s="6" t="s">
        <v>353</v>
      </c>
      <c r="B119" s="178">
        <v>50405000</v>
      </c>
      <c r="C119" s="178">
        <v>53335251.48</v>
      </c>
      <c r="D119" s="178">
        <v>19778380.63</v>
      </c>
      <c r="E119" s="177">
        <f t="shared" si="5"/>
        <v>0.3708312997720959</v>
      </c>
    </row>
    <row r="120" spans="1:5" ht="12.75">
      <c r="A120" s="6" t="s">
        <v>564</v>
      </c>
      <c r="B120" s="178">
        <v>1297000</v>
      </c>
      <c r="C120" s="178">
        <v>3322264</v>
      </c>
      <c r="D120" s="178">
        <v>2139242.05</v>
      </c>
      <c r="E120" s="177">
        <f t="shared" si="5"/>
        <v>0.6439109143644213</v>
      </c>
    </row>
    <row r="121" spans="1:5" ht="12.75">
      <c r="A121" s="6" t="s">
        <v>565</v>
      </c>
      <c r="B121" s="178">
        <v>0</v>
      </c>
      <c r="C121" s="178">
        <v>121800</v>
      </c>
      <c r="D121" s="178">
        <v>60692.49</v>
      </c>
      <c r="E121" s="177">
        <f t="shared" si="5"/>
        <v>0.4982963054187192</v>
      </c>
    </row>
    <row r="122" spans="1:5" ht="12.75">
      <c r="A122" s="6" t="s">
        <v>1018</v>
      </c>
      <c r="B122" s="178"/>
      <c r="C122" s="178"/>
      <c r="D122" s="178"/>
      <c r="E122" s="177">
        <f t="shared" si="5"/>
        <v>0</v>
      </c>
    </row>
    <row r="123" spans="1:5" ht="12.75">
      <c r="A123" s="7" t="s">
        <v>1019</v>
      </c>
      <c r="B123" s="340">
        <v>424500</v>
      </c>
      <c r="C123" s="340">
        <v>424535.54</v>
      </c>
      <c r="D123" s="178">
        <v>121086.4</v>
      </c>
      <c r="E123" s="341">
        <f t="shared" si="5"/>
        <v>0.2852208792696131</v>
      </c>
    </row>
    <row r="124" spans="1:5" ht="21">
      <c r="A124" s="339" t="s">
        <v>1021</v>
      </c>
      <c r="B124" s="342">
        <f>B118+B122+B123</f>
        <v>52126500</v>
      </c>
      <c r="C124" s="342">
        <f>C118+C122+C123</f>
        <v>57203851.019999996</v>
      </c>
      <c r="D124" s="342">
        <f>D118+D122+D123</f>
        <v>22099401.569999997</v>
      </c>
      <c r="E124" s="342">
        <f t="shared" si="5"/>
        <v>0.38632716462172195</v>
      </c>
    </row>
    <row r="125" spans="1:8" ht="12.75">
      <c r="A125" s="316"/>
      <c r="B125" s="343"/>
      <c r="C125" s="343"/>
      <c r="D125" s="343"/>
      <c r="E125" s="343"/>
      <c r="F125" s="87"/>
      <c r="G125" s="87"/>
      <c r="H125" s="87"/>
    </row>
    <row r="126" spans="1:10" ht="31.5">
      <c r="A126" s="988" t="s">
        <v>348</v>
      </c>
      <c r="B126" s="215" t="s">
        <v>103</v>
      </c>
      <c r="C126" s="227" t="s">
        <v>103</v>
      </c>
      <c r="D126" s="969" t="s">
        <v>104</v>
      </c>
      <c r="E126" s="889"/>
      <c r="F126" s="969" t="s">
        <v>105</v>
      </c>
      <c r="G126" s="889"/>
      <c r="H126" s="969" t="s">
        <v>946</v>
      </c>
      <c r="I126" s="889"/>
      <c r="J126" s="344" t="s">
        <v>637</v>
      </c>
    </row>
    <row r="127" spans="1:10" ht="12.75">
      <c r="A127" s="989"/>
      <c r="B127" s="217" t="s">
        <v>74</v>
      </c>
      <c r="C127" s="230" t="s">
        <v>75</v>
      </c>
      <c r="D127" s="227" t="str">
        <f>CONCATENATE("Até o  ",B12)</f>
        <v>Até o  Bimestre</v>
      </c>
      <c r="E127" s="319" t="s">
        <v>77</v>
      </c>
      <c r="F127" s="227" t="str">
        <f>CONCATENATE("Até o  ",B12)</f>
        <v>Até o  Bimestre</v>
      </c>
      <c r="G127" s="319" t="s">
        <v>77</v>
      </c>
      <c r="H127" s="227" t="str">
        <f>CONCATENATE("Até o  ",D12)</f>
        <v>Até o  </v>
      </c>
      <c r="I127" s="319" t="s">
        <v>77</v>
      </c>
      <c r="J127" s="345"/>
    </row>
    <row r="128" spans="1:10" ht="12.75">
      <c r="A128" s="990"/>
      <c r="B128" s="346"/>
      <c r="C128" s="309" t="s">
        <v>100</v>
      </c>
      <c r="D128" s="232" t="s">
        <v>108</v>
      </c>
      <c r="E128" s="347" t="s">
        <v>1030</v>
      </c>
      <c r="F128" s="232" t="s">
        <v>109</v>
      </c>
      <c r="G128" s="347" t="s">
        <v>1031</v>
      </c>
      <c r="H128" s="232" t="s">
        <v>190</v>
      </c>
      <c r="I128" s="347" t="s">
        <v>1032</v>
      </c>
      <c r="J128" s="348" t="s">
        <v>110</v>
      </c>
    </row>
    <row r="129" spans="1:10" ht="12.75">
      <c r="A129" s="349" t="s">
        <v>1022</v>
      </c>
      <c r="B129" s="155">
        <f>SUM(B130:B131)</f>
        <v>11099000</v>
      </c>
      <c r="C129" s="155">
        <f>SUM(C130:C131)</f>
        <v>13170110.86</v>
      </c>
      <c r="D129" s="155">
        <f>SUM(D130:D131)</f>
        <v>4465025.010000001</v>
      </c>
      <c r="E129" s="350">
        <f aca="true" t="shared" si="6" ref="E129:E150">IF(C129&gt;0,D129/C129,0)</f>
        <v>0.33902713936608436</v>
      </c>
      <c r="F129" s="176">
        <f>SUM(F130:F131)</f>
        <v>3985478.1399999997</v>
      </c>
      <c r="G129" s="155">
        <f aca="true" t="shared" si="7" ref="G129:G150">IF(E129&gt;0,F129/E129,0)</f>
        <v>11755631.562275747</v>
      </c>
      <c r="H129" s="176">
        <f>SUM(H130:H131)</f>
        <v>3032970.03</v>
      </c>
      <c r="I129" s="155">
        <f aca="true" t="shared" si="8" ref="I129:I150">IF(G129&gt;0,H129/G129,0)</f>
        <v>0.25800145351041043</v>
      </c>
      <c r="J129" s="155">
        <f>SUM(J130:J131)</f>
        <v>0</v>
      </c>
    </row>
    <row r="130" spans="1:10" ht="12.75">
      <c r="A130" s="19" t="s">
        <v>953</v>
      </c>
      <c r="B130" s="177">
        <v>11099000</v>
      </c>
      <c r="C130" s="177">
        <v>12970486.86</v>
      </c>
      <c r="D130" s="177">
        <v>4384335.23</v>
      </c>
      <c r="E130" s="350">
        <f t="shared" si="6"/>
        <v>0.3380239521710599</v>
      </c>
      <c r="F130" s="178">
        <v>3911170.32</v>
      </c>
      <c r="G130" s="177">
        <f t="shared" si="7"/>
        <v>11570689.872357681</v>
      </c>
      <c r="H130" s="178">
        <v>2958662.21</v>
      </c>
      <c r="I130" s="177">
        <f t="shared" si="8"/>
        <v>0.2557031812829267</v>
      </c>
      <c r="J130" s="177"/>
    </row>
    <row r="131" spans="1:10" ht="12.75">
      <c r="A131" s="19" t="s">
        <v>954</v>
      </c>
      <c r="B131" s="177">
        <v>0</v>
      </c>
      <c r="C131" s="177">
        <v>199624</v>
      </c>
      <c r="D131" s="177">
        <v>80689.78</v>
      </c>
      <c r="E131" s="350">
        <f t="shared" si="6"/>
        <v>0.40420881256762714</v>
      </c>
      <c r="F131" s="178">
        <v>74307.82</v>
      </c>
      <c r="G131" s="177">
        <f t="shared" si="7"/>
        <v>183835.22993469558</v>
      </c>
      <c r="H131" s="178">
        <v>74307.82</v>
      </c>
      <c r="I131" s="177">
        <f t="shared" si="8"/>
        <v>0.40420881256762714</v>
      </c>
      <c r="J131" s="177"/>
    </row>
    <row r="132" spans="1:10" ht="12.75">
      <c r="A132" s="351" t="s">
        <v>1023</v>
      </c>
      <c r="B132" s="178">
        <f>SUM(B133:B134)</f>
        <v>37969000</v>
      </c>
      <c r="C132" s="178">
        <f>SUM(C133:C134)</f>
        <v>48730405.42</v>
      </c>
      <c r="D132" s="177">
        <f>SUM(D133:D134)</f>
        <v>37866587.08</v>
      </c>
      <c r="E132" s="350">
        <f t="shared" si="6"/>
        <v>0.7770628369214991</v>
      </c>
      <c r="F132" s="178">
        <f>SUM(F133:F134)</f>
        <v>13471551.1</v>
      </c>
      <c r="G132" s="177">
        <f t="shared" si="7"/>
        <v>17336501.57993713</v>
      </c>
      <c r="H132" s="178">
        <f>SUM(H133:H134)</f>
        <v>12597591.78</v>
      </c>
      <c r="I132" s="177">
        <f t="shared" si="8"/>
        <v>0.7266513213126408</v>
      </c>
      <c r="J132" s="177">
        <f>SUM(J133:J134)</f>
        <v>0</v>
      </c>
    </row>
    <row r="133" spans="1:10" ht="12.75">
      <c r="A133" s="19" t="s">
        <v>953</v>
      </c>
      <c r="B133" s="178">
        <v>37969000</v>
      </c>
      <c r="C133" s="178">
        <v>48509542.57</v>
      </c>
      <c r="D133" s="177">
        <v>37846867.37</v>
      </c>
      <c r="E133" s="350">
        <f t="shared" si="6"/>
        <v>0.7801942744643777</v>
      </c>
      <c r="F133" s="178">
        <v>13470060.1</v>
      </c>
      <c r="G133" s="177">
        <f t="shared" si="7"/>
        <v>17265007.628064845</v>
      </c>
      <c r="H133" s="178">
        <v>12596100.78</v>
      </c>
      <c r="I133" s="177">
        <f t="shared" si="8"/>
        <v>0.7295740060678929</v>
      </c>
      <c r="J133" s="177"/>
    </row>
    <row r="134" spans="1:10" ht="12.75">
      <c r="A134" s="19" t="s">
        <v>956</v>
      </c>
      <c r="B134" s="178">
        <v>0</v>
      </c>
      <c r="C134" s="178">
        <v>220862.85</v>
      </c>
      <c r="D134" s="177">
        <v>19719.71</v>
      </c>
      <c r="E134" s="350">
        <f t="shared" si="6"/>
        <v>0.08928486615109783</v>
      </c>
      <c r="F134" s="178">
        <v>1491</v>
      </c>
      <c r="G134" s="177">
        <f t="shared" si="7"/>
        <v>16699.35862900621</v>
      </c>
      <c r="H134" s="178">
        <v>1491</v>
      </c>
      <c r="I134" s="177">
        <f t="shared" si="8"/>
        <v>0.08928486615109783</v>
      </c>
      <c r="J134" s="177"/>
    </row>
    <row r="135" spans="1:10" ht="12.75">
      <c r="A135" s="351" t="s">
        <v>1024</v>
      </c>
      <c r="B135" s="178">
        <f>SUM(B136:B137)</f>
        <v>1872000</v>
      </c>
      <c r="C135" s="178">
        <f>SUM(C136:C137)</f>
        <v>2370759.79</v>
      </c>
      <c r="D135" s="177">
        <f>SUM(D136:D137)</f>
        <v>812027.5</v>
      </c>
      <c r="E135" s="350">
        <f t="shared" si="6"/>
        <v>0.34251783053904417</v>
      </c>
      <c r="F135" s="178">
        <f>SUM(F136:F137)</f>
        <v>590115.1</v>
      </c>
      <c r="G135" s="177">
        <f t="shared" si="7"/>
        <v>1722874.1028497545</v>
      </c>
      <c r="H135" s="178">
        <f>SUM(H136:H137)</f>
        <v>462743.5</v>
      </c>
      <c r="I135" s="177">
        <f t="shared" si="8"/>
        <v>0.2685881105500337</v>
      </c>
      <c r="J135" s="177">
        <f>SUM(J136:J137)</f>
        <v>0</v>
      </c>
    </row>
    <row r="136" spans="1:10" ht="12.75">
      <c r="A136" s="19" t="s">
        <v>953</v>
      </c>
      <c r="B136" s="178">
        <v>1872000</v>
      </c>
      <c r="C136" s="178">
        <v>2370759.79</v>
      </c>
      <c r="D136" s="177">
        <v>812027.5</v>
      </c>
      <c r="E136" s="350">
        <f t="shared" si="6"/>
        <v>0.34251783053904417</v>
      </c>
      <c r="F136" s="178">
        <v>590115.1</v>
      </c>
      <c r="G136" s="177">
        <f t="shared" si="7"/>
        <v>1722874.1028497545</v>
      </c>
      <c r="H136" s="178">
        <v>462743.5</v>
      </c>
      <c r="I136" s="177">
        <f t="shared" si="8"/>
        <v>0.2685881105500337</v>
      </c>
      <c r="J136" s="177"/>
    </row>
    <row r="137" spans="1:10" ht="12.75">
      <c r="A137" s="19" t="s">
        <v>956</v>
      </c>
      <c r="B137" s="178"/>
      <c r="C137" s="178"/>
      <c r="D137" s="177"/>
      <c r="E137" s="350">
        <f t="shared" si="6"/>
        <v>0</v>
      </c>
      <c r="F137" s="178"/>
      <c r="G137" s="177">
        <f t="shared" si="7"/>
        <v>0</v>
      </c>
      <c r="H137" s="178"/>
      <c r="I137" s="177">
        <f t="shared" si="8"/>
        <v>0</v>
      </c>
      <c r="J137" s="177"/>
    </row>
    <row r="138" spans="1:10" ht="12.75">
      <c r="A138" s="351" t="s">
        <v>1025</v>
      </c>
      <c r="B138" s="178">
        <f>SUM(B139:B140)</f>
        <v>1165900</v>
      </c>
      <c r="C138" s="178">
        <f>SUM(C139:C140)</f>
        <v>1608700.89</v>
      </c>
      <c r="D138" s="177">
        <f>SUM(D139:D140)</f>
        <v>675497.31</v>
      </c>
      <c r="E138" s="350">
        <f t="shared" si="6"/>
        <v>0.41990236606383685</v>
      </c>
      <c r="F138" s="178">
        <f>SUM(F139:F140)</f>
        <v>675497.31</v>
      </c>
      <c r="G138" s="177">
        <f t="shared" si="7"/>
        <v>1608700.89</v>
      </c>
      <c r="H138" s="178">
        <f>SUM(H139:H140)</f>
        <v>517104.42</v>
      </c>
      <c r="I138" s="177">
        <f t="shared" si="8"/>
        <v>0.32144224150954503</v>
      </c>
      <c r="J138" s="177">
        <f>SUM(J139:J140)</f>
        <v>0</v>
      </c>
    </row>
    <row r="139" spans="1:10" ht="12.75">
      <c r="A139" s="19" t="s">
        <v>953</v>
      </c>
      <c r="B139" s="178">
        <v>1105900</v>
      </c>
      <c r="C139" s="178">
        <v>1548700.89</v>
      </c>
      <c r="D139" s="177">
        <v>675497.31</v>
      </c>
      <c r="E139" s="350">
        <f t="shared" si="6"/>
        <v>0.43617028592267426</v>
      </c>
      <c r="F139" s="178">
        <v>675497.31</v>
      </c>
      <c r="G139" s="177">
        <f t="shared" si="7"/>
        <v>1548700.89</v>
      </c>
      <c r="H139" s="178">
        <v>517104.42</v>
      </c>
      <c r="I139" s="177">
        <f t="shared" si="8"/>
        <v>0.33389560459282747</v>
      </c>
      <c r="J139" s="177"/>
    </row>
    <row r="140" spans="1:10" ht="12.75">
      <c r="A140" s="19" t="s">
        <v>956</v>
      </c>
      <c r="B140" s="178">
        <v>60000</v>
      </c>
      <c r="C140" s="178">
        <v>60000</v>
      </c>
      <c r="D140" s="177">
        <v>0</v>
      </c>
      <c r="E140" s="350">
        <f t="shared" si="6"/>
        <v>0</v>
      </c>
      <c r="F140" s="178">
        <v>0</v>
      </c>
      <c r="G140" s="177">
        <f t="shared" si="7"/>
        <v>0</v>
      </c>
      <c r="H140" s="178">
        <v>0</v>
      </c>
      <c r="I140" s="177">
        <f t="shared" si="8"/>
        <v>0</v>
      </c>
      <c r="J140" s="177"/>
    </row>
    <row r="141" spans="1:10" ht="12.75">
      <c r="A141" s="351" t="s">
        <v>1026</v>
      </c>
      <c r="B141" s="178">
        <f>SUM(B142:B143)</f>
        <v>946000</v>
      </c>
      <c r="C141" s="178">
        <f>SUM(C142:C143)</f>
        <v>1737256.03</v>
      </c>
      <c r="D141" s="177">
        <f>SUM(D142:D143)</f>
        <v>1100750.26</v>
      </c>
      <c r="E141" s="350">
        <f t="shared" si="6"/>
        <v>0.6336142980606031</v>
      </c>
      <c r="F141" s="178">
        <f>SUM(F142:F143)</f>
        <v>827738.66</v>
      </c>
      <c r="G141" s="177">
        <f t="shared" si="7"/>
        <v>1306376.2331967289</v>
      </c>
      <c r="H141" s="178">
        <f>SUM(H142:H143)</f>
        <v>685241.92</v>
      </c>
      <c r="I141" s="177">
        <f t="shared" si="8"/>
        <v>0.5245364257149714</v>
      </c>
      <c r="J141" s="177">
        <f>SUM(J142:J143)</f>
        <v>0</v>
      </c>
    </row>
    <row r="142" spans="1:10" ht="12.75">
      <c r="A142" s="19" t="s">
        <v>953</v>
      </c>
      <c r="B142" s="178">
        <v>856000</v>
      </c>
      <c r="C142" s="178">
        <v>1634756.03</v>
      </c>
      <c r="D142" s="177">
        <v>1088250.26</v>
      </c>
      <c r="E142" s="350">
        <f t="shared" si="6"/>
        <v>0.6656958225136506</v>
      </c>
      <c r="F142" s="178">
        <v>827738.66</v>
      </c>
      <c r="G142" s="177">
        <f t="shared" si="7"/>
        <v>1243418.7387183532</v>
      </c>
      <c r="H142" s="178">
        <v>685241.92</v>
      </c>
      <c r="I142" s="177">
        <f t="shared" si="8"/>
        <v>0.551095056445996</v>
      </c>
      <c r="J142" s="177"/>
    </row>
    <row r="143" spans="1:10" ht="12.75">
      <c r="A143" s="19" t="s">
        <v>956</v>
      </c>
      <c r="B143" s="178">
        <v>90000</v>
      </c>
      <c r="C143" s="178">
        <v>102500</v>
      </c>
      <c r="D143" s="177">
        <v>12500</v>
      </c>
      <c r="E143" s="350">
        <f t="shared" si="6"/>
        <v>0.12195121951219512</v>
      </c>
      <c r="F143" s="178">
        <v>0</v>
      </c>
      <c r="G143" s="177">
        <f t="shared" si="7"/>
        <v>0</v>
      </c>
      <c r="H143" s="178">
        <v>0</v>
      </c>
      <c r="I143" s="177">
        <f t="shared" si="8"/>
        <v>0</v>
      </c>
      <c r="J143" s="177"/>
    </row>
    <row r="144" spans="1:10" ht="12.75">
      <c r="A144" s="351" t="s">
        <v>1027</v>
      </c>
      <c r="B144" s="178">
        <f>SUM(B145:B146)</f>
        <v>0</v>
      </c>
      <c r="C144" s="178">
        <f>SUM(C145:C146)</f>
        <v>0</v>
      </c>
      <c r="D144" s="177">
        <f>SUM(D145:D146)</f>
        <v>0</v>
      </c>
      <c r="E144" s="350">
        <f t="shared" si="6"/>
        <v>0</v>
      </c>
      <c r="F144" s="178">
        <f>SUM(F145:F146)</f>
        <v>0</v>
      </c>
      <c r="G144" s="177">
        <f t="shared" si="7"/>
        <v>0</v>
      </c>
      <c r="H144" s="178">
        <f>SUM(H145:H146)</f>
        <v>0</v>
      </c>
      <c r="I144" s="177">
        <f t="shared" si="8"/>
        <v>0</v>
      </c>
      <c r="J144" s="177">
        <f>SUM(J145:J146)</f>
        <v>0</v>
      </c>
    </row>
    <row r="145" spans="1:10" ht="12.75">
      <c r="A145" s="19" t="s">
        <v>953</v>
      </c>
      <c r="B145" s="178"/>
      <c r="C145" s="178"/>
      <c r="D145" s="177"/>
      <c r="E145" s="350">
        <f t="shared" si="6"/>
        <v>0</v>
      </c>
      <c r="F145" s="178"/>
      <c r="G145" s="177">
        <f t="shared" si="7"/>
        <v>0</v>
      </c>
      <c r="H145" s="178"/>
      <c r="I145" s="177">
        <f t="shared" si="8"/>
        <v>0</v>
      </c>
      <c r="J145" s="177"/>
    </row>
    <row r="146" spans="1:10" ht="12.75">
      <c r="A146" s="19" t="s">
        <v>956</v>
      </c>
      <c r="B146" s="178"/>
      <c r="C146" s="178"/>
      <c r="D146" s="177"/>
      <c r="E146" s="350">
        <f t="shared" si="6"/>
        <v>0</v>
      </c>
      <c r="F146" s="178"/>
      <c r="G146" s="177">
        <f t="shared" si="7"/>
        <v>0</v>
      </c>
      <c r="H146" s="178"/>
      <c r="I146" s="177">
        <f t="shared" si="8"/>
        <v>0</v>
      </c>
      <c r="J146" s="177"/>
    </row>
    <row r="147" spans="1:10" ht="12.75">
      <c r="A147" s="351" t="s">
        <v>1028</v>
      </c>
      <c r="B147" s="178">
        <f>SUM(B148:B149)</f>
        <v>43840200</v>
      </c>
      <c r="C147" s="178">
        <f>SUM(C148:C149)</f>
        <v>43840200</v>
      </c>
      <c r="D147" s="177">
        <f>SUM(D148:D149)</f>
        <v>14198879.91</v>
      </c>
      <c r="E147" s="350">
        <f t="shared" si="6"/>
        <v>0.32387808244487937</v>
      </c>
      <c r="F147" s="178">
        <f>SUM(F148:F149)</f>
        <v>13148814.45</v>
      </c>
      <c r="G147" s="177">
        <f t="shared" si="7"/>
        <v>40598037.23284606</v>
      </c>
      <c r="H147" s="178">
        <f>SUM(H148:H149)</f>
        <v>9816121.76</v>
      </c>
      <c r="I147" s="177">
        <f t="shared" si="8"/>
        <v>0.24178808703732638</v>
      </c>
      <c r="J147" s="177">
        <f>SUM(J148:J149)</f>
        <v>0</v>
      </c>
    </row>
    <row r="148" spans="1:10" ht="12.75">
      <c r="A148" s="19" t="s">
        <v>953</v>
      </c>
      <c r="B148" s="178">
        <v>43490200</v>
      </c>
      <c r="C148" s="178">
        <v>43490200</v>
      </c>
      <c r="D148" s="177">
        <v>14123020.16</v>
      </c>
      <c r="E148" s="350">
        <f t="shared" si="6"/>
        <v>0.324740289996367</v>
      </c>
      <c r="F148" s="178">
        <v>13148814.45</v>
      </c>
      <c r="G148" s="177">
        <f t="shared" si="7"/>
        <v>40490246.68342539</v>
      </c>
      <c r="H148" s="178">
        <v>9816121.76</v>
      </c>
      <c r="I148" s="177">
        <f t="shared" si="8"/>
        <v>0.24243175984448156</v>
      </c>
      <c r="J148" s="177"/>
    </row>
    <row r="149" spans="1:10" ht="12.75">
      <c r="A149" s="20" t="s">
        <v>956</v>
      </c>
      <c r="B149" s="178">
        <v>350000</v>
      </c>
      <c r="C149" s="178">
        <v>350000</v>
      </c>
      <c r="D149" s="341">
        <v>75859.75</v>
      </c>
      <c r="E149" s="350">
        <f t="shared" si="6"/>
        <v>0.21674214285714286</v>
      </c>
      <c r="F149" s="178">
        <v>0</v>
      </c>
      <c r="G149" s="177">
        <f t="shared" si="7"/>
        <v>0</v>
      </c>
      <c r="H149" s="178">
        <v>0</v>
      </c>
      <c r="I149" s="177">
        <f t="shared" si="8"/>
        <v>0</v>
      </c>
      <c r="J149" s="177"/>
    </row>
    <row r="150" spans="1:10" ht="21">
      <c r="A150" s="339" t="s">
        <v>1029</v>
      </c>
      <c r="B150" s="352">
        <f>B129+B132+B135+B138+B141+B144+B147</f>
        <v>96892100</v>
      </c>
      <c r="C150" s="325">
        <f>C129+C132+C135+C138+C141+C144+C147</f>
        <v>111457432.99</v>
      </c>
      <c r="D150" s="325">
        <f>D129+D132+D135+D138+D141+D144+D147</f>
        <v>59118767.06999999</v>
      </c>
      <c r="E150" s="325">
        <f t="shared" si="6"/>
        <v>0.5304156527210182</v>
      </c>
      <c r="F150" s="325">
        <f>F129+F132+F135+F138+F141+F144+F147</f>
        <v>32699194.759999998</v>
      </c>
      <c r="G150" s="325">
        <f t="shared" si="7"/>
        <v>61648246.22398302</v>
      </c>
      <c r="H150" s="325">
        <f>H129+H132+H135+H138+H141+H144+H147</f>
        <v>27111773.409999996</v>
      </c>
      <c r="I150" s="325">
        <f t="shared" si="8"/>
        <v>0.43978174677502346</v>
      </c>
      <c r="J150" s="325">
        <f>J129+J132+J135+J138+J141+J144+J147</f>
        <v>0</v>
      </c>
    </row>
    <row r="151" spans="1:8" ht="12.75">
      <c r="A151" s="242"/>
      <c r="B151" s="353"/>
      <c r="C151" s="354"/>
      <c r="D151" s="354"/>
      <c r="E151" s="354"/>
      <c r="F151" s="355"/>
      <c r="G151" s="355"/>
      <c r="H151" s="355"/>
    </row>
    <row r="152" spans="1:8" ht="12.75">
      <c r="A152" s="242"/>
      <c r="B152" s="354"/>
      <c r="C152" s="354"/>
      <c r="D152" s="354"/>
      <c r="E152" s="354"/>
      <c r="F152" s="355"/>
      <c r="G152" s="355"/>
      <c r="H152" s="355"/>
    </row>
    <row r="153" spans="1:8" ht="12.75">
      <c r="A153" s="242"/>
      <c r="B153" s="354"/>
      <c r="C153" s="354"/>
      <c r="D153" s="354"/>
      <c r="E153" s="354"/>
      <c r="F153" s="355"/>
      <c r="G153" s="355"/>
      <c r="H153" s="355"/>
    </row>
    <row r="154" spans="1:8" ht="12.75">
      <c r="A154" s="242"/>
      <c r="B154" s="354"/>
      <c r="C154" s="354"/>
      <c r="D154" s="354"/>
      <c r="E154" s="354"/>
      <c r="F154" s="355"/>
      <c r="G154" s="355"/>
      <c r="H154" s="355"/>
    </row>
    <row r="155" spans="1:10" ht="12.75" customHeight="1">
      <c r="A155" s="970" t="s">
        <v>1033</v>
      </c>
      <c r="B155" s="215" t="s">
        <v>103</v>
      </c>
      <c r="C155" s="227" t="s">
        <v>103</v>
      </c>
      <c r="D155" s="969" t="s">
        <v>104</v>
      </c>
      <c r="E155" s="889"/>
      <c r="F155" s="969" t="s">
        <v>105</v>
      </c>
      <c r="G155" s="889"/>
      <c r="H155" s="969" t="s">
        <v>946</v>
      </c>
      <c r="I155" s="889"/>
      <c r="J155" s="344" t="s">
        <v>637</v>
      </c>
    </row>
    <row r="156" spans="1:10" ht="12.75">
      <c r="A156" s="971"/>
      <c r="B156" s="217" t="s">
        <v>74</v>
      </c>
      <c r="C156" s="230" t="s">
        <v>75</v>
      </c>
      <c r="D156" s="227" t="str">
        <f>CONCATENATE("Até o  ",B39)</f>
        <v>Até o  </v>
      </c>
      <c r="E156" s="319" t="s">
        <v>77</v>
      </c>
      <c r="F156" s="227" t="str">
        <f>CONCATENATE("Até o  ",B39)</f>
        <v>Até o  </v>
      </c>
      <c r="G156" s="319" t="s">
        <v>77</v>
      </c>
      <c r="H156" s="227" t="str">
        <f>CONCATENATE("Até o  ",D39)</f>
        <v>Até o  </v>
      </c>
      <c r="I156" s="319" t="s">
        <v>77</v>
      </c>
      <c r="J156" s="345"/>
    </row>
    <row r="157" spans="1:10" ht="12.75">
      <c r="A157" s="972"/>
      <c r="B157" s="346"/>
      <c r="C157" s="309" t="s">
        <v>100</v>
      </c>
      <c r="D157" s="232" t="s">
        <v>108</v>
      </c>
      <c r="E157" s="347" t="s">
        <v>1030</v>
      </c>
      <c r="F157" s="232" t="s">
        <v>109</v>
      </c>
      <c r="G157" s="347" t="s">
        <v>1031</v>
      </c>
      <c r="H157" s="232" t="s">
        <v>190</v>
      </c>
      <c r="I157" s="347" t="s">
        <v>1032</v>
      </c>
      <c r="J157" s="348" t="s">
        <v>110</v>
      </c>
    </row>
    <row r="158" spans="1:10" ht="12.75">
      <c r="A158" s="349" t="s">
        <v>1034</v>
      </c>
      <c r="B158" s="148">
        <f>B45+B129</f>
        <v>47838000</v>
      </c>
      <c r="C158" s="148">
        <f>C45+C129</f>
        <v>51130110.86</v>
      </c>
      <c r="D158" s="148">
        <f>D45+D129</f>
        <v>17212249.900000002</v>
      </c>
      <c r="E158" s="167">
        <f aca="true" t="shared" si="9" ref="E158:E167">IF(C158&gt;0,D158/C158,0)</f>
        <v>0.33663627186588896</v>
      </c>
      <c r="F158" s="146">
        <f>F45+F129</f>
        <v>15651038.89</v>
      </c>
      <c r="G158" s="148">
        <f aca="true" t="shared" si="10" ref="G158:G167">IF(E158&gt;0,F158/E158,0)</f>
        <v>46492431.737228684</v>
      </c>
      <c r="H158" s="146">
        <f>H45+H129</f>
        <v>12084803.459999999</v>
      </c>
      <c r="I158" s="148">
        <f aca="true" t="shared" si="11" ref="I158:I167">IF(G158&gt;0,H158/G158,0)</f>
        <v>0.259930552316607</v>
      </c>
      <c r="J158" s="148">
        <f>J45+J129</f>
        <v>0</v>
      </c>
    </row>
    <row r="159" spans="1:10" ht="12.75">
      <c r="A159" s="351" t="s">
        <v>1035</v>
      </c>
      <c r="B159" s="147">
        <f>B48+B132</f>
        <v>156956000</v>
      </c>
      <c r="C159" s="147">
        <f>C48+C132</f>
        <v>170041133.42000002</v>
      </c>
      <c r="D159" s="147">
        <f>D48+D132</f>
        <v>91017240.74000001</v>
      </c>
      <c r="E159" s="167">
        <f t="shared" si="9"/>
        <v>0.5352660201057838</v>
      </c>
      <c r="F159" s="145">
        <f>F48+F132</f>
        <v>47726561.54000001</v>
      </c>
      <c r="G159" s="147">
        <f t="shared" si="10"/>
        <v>89164190.78978314</v>
      </c>
      <c r="H159" s="145">
        <f>H48+H132</f>
        <v>41008249.26</v>
      </c>
      <c r="I159" s="147">
        <f t="shared" si="11"/>
        <v>0.4599183696589878</v>
      </c>
      <c r="J159" s="147">
        <f>J48+J132</f>
        <v>0</v>
      </c>
    </row>
    <row r="160" spans="1:10" ht="12.75">
      <c r="A160" s="351" t="s">
        <v>1036</v>
      </c>
      <c r="B160" s="147">
        <f>B51+B135</f>
        <v>12961000</v>
      </c>
      <c r="C160" s="147">
        <f>C51+C135</f>
        <v>13800959.79</v>
      </c>
      <c r="D160" s="147">
        <f>D51+D135</f>
        <v>7745543.090000001</v>
      </c>
      <c r="E160" s="167">
        <f t="shared" si="9"/>
        <v>0.5612322047059599</v>
      </c>
      <c r="F160" s="145">
        <f>F51+F135</f>
        <v>5808668.04</v>
      </c>
      <c r="G160" s="147">
        <f t="shared" si="10"/>
        <v>10349848.050938684</v>
      </c>
      <c r="H160" s="145">
        <f>H51+H135</f>
        <v>3953149.27</v>
      </c>
      <c r="I160" s="147">
        <f t="shared" si="11"/>
        <v>0.38195239684136884</v>
      </c>
      <c r="J160" s="147">
        <f>J51+J135</f>
        <v>0</v>
      </c>
    </row>
    <row r="161" spans="1:10" ht="12.75">
      <c r="A161" s="351" t="s">
        <v>1037</v>
      </c>
      <c r="B161" s="147">
        <f>B54+B138</f>
        <v>2868000</v>
      </c>
      <c r="C161" s="147">
        <f>C54+C138</f>
        <v>3350733.8899999997</v>
      </c>
      <c r="D161" s="147">
        <f>D54+D138</f>
        <v>879213.03</v>
      </c>
      <c r="E161" s="167">
        <f t="shared" si="9"/>
        <v>0.26239416762517065</v>
      </c>
      <c r="F161" s="145">
        <f>F54+F138</f>
        <v>879213.03</v>
      </c>
      <c r="G161" s="147">
        <f t="shared" si="10"/>
        <v>3350733.8899999997</v>
      </c>
      <c r="H161" s="145">
        <f>H54+H138</f>
        <v>672234.5</v>
      </c>
      <c r="I161" s="147">
        <f t="shared" si="11"/>
        <v>0.20062306410133932</v>
      </c>
      <c r="J161" s="147">
        <f>J54+J138</f>
        <v>0</v>
      </c>
    </row>
    <row r="162" spans="1:10" ht="12.75">
      <c r="A162" s="351" t="s">
        <v>1038</v>
      </c>
      <c r="B162" s="147">
        <f>B57+B141</f>
        <v>4261000</v>
      </c>
      <c r="C162" s="147">
        <f>C57+C141</f>
        <v>5777256.03</v>
      </c>
      <c r="D162" s="147">
        <f>D57+D141</f>
        <v>1683427.26</v>
      </c>
      <c r="E162" s="167">
        <f t="shared" si="9"/>
        <v>0.2913887235148206</v>
      </c>
      <c r="F162" s="145">
        <f>F57+F141</f>
        <v>1378901.5499999998</v>
      </c>
      <c r="G162" s="147">
        <f t="shared" si="10"/>
        <v>4732171.97071755</v>
      </c>
      <c r="H162" s="145">
        <f>H57+H141</f>
        <v>1078291.74</v>
      </c>
      <c r="I162" s="147">
        <f t="shared" si="11"/>
        <v>0.22786402241347456</v>
      </c>
      <c r="J162" s="147">
        <f>J57+J141</f>
        <v>0</v>
      </c>
    </row>
    <row r="163" spans="1:10" ht="12.75">
      <c r="A163" s="351" t="s">
        <v>1039</v>
      </c>
      <c r="B163" s="147">
        <f>B60+B144</f>
        <v>0</v>
      </c>
      <c r="C163" s="147">
        <f>C60+C144</f>
        <v>0</v>
      </c>
      <c r="D163" s="147">
        <f>D60+D144</f>
        <v>0</v>
      </c>
      <c r="E163" s="167">
        <f t="shared" si="9"/>
        <v>0</v>
      </c>
      <c r="F163" s="145">
        <f>F60+F144</f>
        <v>0</v>
      </c>
      <c r="G163" s="147">
        <f t="shared" si="10"/>
        <v>0</v>
      </c>
      <c r="H163" s="145">
        <f>H60+H144</f>
        <v>0</v>
      </c>
      <c r="I163" s="147">
        <f t="shared" si="11"/>
        <v>0</v>
      </c>
      <c r="J163" s="147">
        <f>J60+J144</f>
        <v>0</v>
      </c>
    </row>
    <row r="164" spans="1:10" ht="12.75">
      <c r="A164" s="349" t="s">
        <v>1040</v>
      </c>
      <c r="B164" s="147">
        <f>B63+B147</f>
        <v>59156200</v>
      </c>
      <c r="C164" s="147">
        <f>C63+C147</f>
        <v>61785930</v>
      </c>
      <c r="D164" s="147">
        <f>D63+D147</f>
        <v>21894041.43</v>
      </c>
      <c r="E164" s="167">
        <f t="shared" si="9"/>
        <v>0.3543531906050455</v>
      </c>
      <c r="F164" s="145">
        <f>F63+F147</f>
        <v>18183290.919999998</v>
      </c>
      <c r="G164" s="147">
        <f t="shared" si="10"/>
        <v>51314031.88144764</v>
      </c>
      <c r="H164" s="145">
        <f>H63+H147</f>
        <v>13922285.45</v>
      </c>
      <c r="I164" s="147">
        <f t="shared" si="11"/>
        <v>0.27131536812708607</v>
      </c>
      <c r="J164" s="147">
        <f>J63+J147</f>
        <v>0</v>
      </c>
    </row>
    <row r="165" spans="1:10" ht="12.75">
      <c r="A165" s="339" t="s">
        <v>1041</v>
      </c>
      <c r="B165" s="352">
        <f>B66+B150</f>
        <v>284040200</v>
      </c>
      <c r="C165" s="325">
        <f>C66+C150</f>
        <v>305886123.99</v>
      </c>
      <c r="D165" s="325">
        <f>D66+D150</f>
        <v>140431715.45</v>
      </c>
      <c r="E165" s="325">
        <f t="shared" si="9"/>
        <v>0.45909802516766324</v>
      </c>
      <c r="F165" s="325">
        <f>F66+F150</f>
        <v>89627673.97</v>
      </c>
      <c r="G165" s="325">
        <f t="shared" si="10"/>
        <v>195225570.69869304</v>
      </c>
      <c r="H165" s="325">
        <f>H66+H150</f>
        <v>72719013.67999999</v>
      </c>
      <c r="I165" s="325">
        <f t="shared" si="11"/>
        <v>0.3724871358795153</v>
      </c>
      <c r="J165" s="325">
        <f>J66+J150</f>
        <v>0</v>
      </c>
    </row>
    <row r="166" spans="1:10" ht="15.75">
      <c r="A166" s="356" t="s">
        <v>1042</v>
      </c>
      <c r="B166" s="147">
        <v>52035000</v>
      </c>
      <c r="C166" s="147">
        <v>66164676.9</v>
      </c>
      <c r="D166" s="147">
        <v>44244389.85</v>
      </c>
      <c r="E166" s="167">
        <f t="shared" si="9"/>
        <v>0.6687010641171891</v>
      </c>
      <c r="F166" s="145">
        <v>18874883</v>
      </c>
      <c r="G166" s="147">
        <f t="shared" si="10"/>
        <v>28226189.56785778</v>
      </c>
      <c r="H166" s="145">
        <v>16778547.23</v>
      </c>
      <c r="I166" s="147">
        <f t="shared" si="11"/>
        <v>0.5944318906263693</v>
      </c>
      <c r="J166" s="147"/>
    </row>
    <row r="167" spans="1:10" ht="12.75">
      <c r="A167" s="339" t="s">
        <v>1043</v>
      </c>
      <c r="B167" s="352">
        <f>B165-B166</f>
        <v>232005200</v>
      </c>
      <c r="C167" s="325">
        <f>C165-C166</f>
        <v>239721447.09</v>
      </c>
      <c r="D167" s="325">
        <f>D165-D166</f>
        <v>96187325.6</v>
      </c>
      <c r="E167" s="325">
        <f t="shared" si="9"/>
        <v>0.4012462245978677</v>
      </c>
      <c r="F167" s="325">
        <f>F165-F166</f>
        <v>70752790.97</v>
      </c>
      <c r="G167" s="325">
        <f t="shared" si="10"/>
        <v>176332602.358836</v>
      </c>
      <c r="H167" s="325">
        <f>H165-H166</f>
        <v>55940466.44999999</v>
      </c>
      <c r="I167" s="325">
        <f t="shared" si="11"/>
        <v>0.31724403599602874</v>
      </c>
      <c r="J167" s="325">
        <f>J165-J166</f>
        <v>0</v>
      </c>
    </row>
    <row r="168" spans="1:8" ht="12.75">
      <c r="A168" s="986" t="s">
        <v>1070</v>
      </c>
      <c r="B168" s="986"/>
      <c r="C168" s="986"/>
      <c r="D168" s="986"/>
      <c r="E168" s="986"/>
      <c r="F168" s="986"/>
      <c r="G168" s="986"/>
      <c r="H168" s="986"/>
    </row>
    <row r="169" spans="1:8" ht="12.75">
      <c r="A169" s="357" t="s">
        <v>1047</v>
      </c>
      <c r="B169" s="357"/>
      <c r="C169" s="357"/>
      <c r="D169" s="357"/>
      <c r="E169" s="357"/>
      <c r="F169" s="357"/>
      <c r="G169" s="357"/>
      <c r="H169" s="357"/>
    </row>
    <row r="170" spans="1:8" ht="12.75">
      <c r="A170" s="197" t="s">
        <v>1044</v>
      </c>
      <c r="B170" s="358"/>
      <c r="C170" s="358"/>
      <c r="D170" s="197"/>
      <c r="E170" s="197"/>
      <c r="F170" s="86"/>
      <c r="G170" s="86"/>
      <c r="H170" s="87"/>
    </row>
    <row r="171" spans="1:8" ht="12.75">
      <c r="A171" s="197" t="s">
        <v>1045</v>
      </c>
      <c r="B171" s="358"/>
      <c r="C171" s="358"/>
      <c r="D171" s="197"/>
      <c r="E171" s="197"/>
      <c r="F171" s="86"/>
      <c r="G171" s="86"/>
      <c r="H171" s="87"/>
    </row>
    <row r="172" spans="1:8" ht="12.75">
      <c r="A172" s="197" t="s">
        <v>1046</v>
      </c>
      <c r="B172" s="358"/>
      <c r="C172" s="358"/>
      <c r="D172" s="197"/>
      <c r="E172" s="197"/>
      <c r="F172" s="86"/>
      <c r="G172" s="86"/>
      <c r="H172" s="87"/>
    </row>
    <row r="173" spans="1:8" ht="12.75">
      <c r="A173" s="87"/>
      <c r="B173" s="87"/>
      <c r="C173" s="87"/>
      <c r="D173" s="87"/>
      <c r="E173" s="87"/>
      <c r="F173" s="87"/>
      <c r="G173" s="87"/>
      <c r="H173" s="87"/>
    </row>
    <row r="174" spans="1:8" ht="12.75">
      <c r="A174" s="87"/>
      <c r="B174" s="87"/>
      <c r="C174" s="87"/>
      <c r="D174" s="87"/>
      <c r="E174" s="87"/>
      <c r="F174" s="87"/>
      <c r="G174" s="87"/>
      <c r="H174" s="87"/>
    </row>
    <row r="175" spans="1:8" ht="12.75">
      <c r="A175" s="87"/>
      <c r="B175" s="87"/>
      <c r="C175" s="87"/>
      <c r="D175" s="87"/>
      <c r="E175" s="87"/>
      <c r="F175" s="87"/>
      <c r="G175" s="87"/>
      <c r="H175" s="87"/>
    </row>
    <row r="176" spans="1:8" ht="12.75">
      <c r="A176" s="359" t="s">
        <v>1056</v>
      </c>
      <c r="B176" s="360"/>
      <c r="C176" s="360"/>
      <c r="D176" s="915" t="s">
        <v>1058</v>
      </c>
      <c r="E176" s="915"/>
      <c r="F176" s="915"/>
      <c r="G176" s="87"/>
      <c r="H176" s="87"/>
    </row>
    <row r="177" spans="1:8" ht="12.75">
      <c r="A177" s="361" t="s">
        <v>1057</v>
      </c>
      <c r="B177" s="360"/>
      <c r="C177" s="360"/>
      <c r="D177" s="915" t="s">
        <v>1059</v>
      </c>
      <c r="E177" s="915"/>
      <c r="F177" s="915"/>
      <c r="G177" s="87"/>
      <c r="H177" s="87"/>
    </row>
    <row r="178" spans="1:8" ht="12.75">
      <c r="A178" s="362"/>
      <c r="B178" s="363"/>
      <c r="C178" s="364"/>
      <c r="D178" s="918" t="s">
        <v>1072</v>
      </c>
      <c r="E178" s="918"/>
      <c r="F178" s="918"/>
      <c r="G178" s="365"/>
      <c r="H178" s="365"/>
    </row>
    <row r="179" spans="1:8" ht="12.75">
      <c r="A179" s="87"/>
      <c r="B179" s="87"/>
      <c r="C179" s="87"/>
      <c r="D179" s="83"/>
      <c r="E179" s="83"/>
      <c r="F179" s="83"/>
      <c r="G179" s="365"/>
      <c r="H179" s="365"/>
    </row>
    <row r="180" spans="1:8" ht="12.75">
      <c r="A180" s="87"/>
      <c r="B180" s="87"/>
      <c r="C180" s="87"/>
      <c r="D180" s="83"/>
      <c r="E180" s="83"/>
      <c r="F180" s="83"/>
      <c r="G180" s="365"/>
      <c r="H180" s="365"/>
    </row>
    <row r="181" spans="1:8" ht="12.75">
      <c r="A181" s="87"/>
      <c r="B181" s="87"/>
      <c r="C181" s="87"/>
      <c r="D181" s="83"/>
      <c r="E181" s="83"/>
      <c r="F181" s="83"/>
      <c r="G181" s="87"/>
      <c r="H181" s="87"/>
    </row>
    <row r="182" spans="1:8" ht="12.75">
      <c r="A182" s="362" t="s">
        <v>1076</v>
      </c>
      <c r="B182" s="363"/>
      <c r="C182" s="363"/>
      <c r="D182" s="918" t="s">
        <v>1060</v>
      </c>
      <c r="E182" s="918"/>
      <c r="F182" s="918"/>
      <c r="G182" s="87"/>
      <c r="H182" s="87"/>
    </row>
    <row r="183" spans="1:8" ht="12.75">
      <c r="A183" s="361" t="s">
        <v>1077</v>
      </c>
      <c r="B183" s="363"/>
      <c r="C183" s="363"/>
      <c r="D183" s="361" t="s">
        <v>1061</v>
      </c>
      <c r="E183" s="361"/>
      <c r="F183" s="361"/>
      <c r="G183" s="87"/>
      <c r="H183" s="87"/>
    </row>
    <row r="184" spans="4:8" ht="12.75">
      <c r="D184" s="793" t="s">
        <v>1073</v>
      </c>
      <c r="E184" s="793"/>
      <c r="F184" s="83"/>
      <c r="G184" s="87"/>
      <c r="H184" s="87"/>
    </row>
    <row r="185" spans="1:8" ht="12.75">
      <c r="A185" s="87"/>
      <c r="B185" s="87"/>
      <c r="C185" s="87"/>
      <c r="D185" s="87"/>
      <c r="E185" s="87"/>
      <c r="F185" s="87"/>
      <c r="G185" s="87"/>
      <c r="H185" s="87"/>
    </row>
    <row r="847" ht="12.75">
      <c r="E847" s="254"/>
    </row>
  </sheetData>
  <sheetProtection/>
  <mergeCells count="39">
    <mergeCell ref="D176:F176"/>
    <mergeCell ref="D177:F177"/>
    <mergeCell ref="D178:F178"/>
    <mergeCell ref="D182:F182"/>
    <mergeCell ref="D184:E184"/>
    <mergeCell ref="A90:J90"/>
    <mergeCell ref="C107:E107"/>
    <mergeCell ref="F107:F108"/>
    <mergeCell ref="A115:A117"/>
    <mergeCell ref="A126:A128"/>
    <mergeCell ref="A11:G11"/>
    <mergeCell ref="A13:G13"/>
    <mergeCell ref="A14:G14"/>
    <mergeCell ref="D17:E17"/>
    <mergeCell ref="A168:H168"/>
    <mergeCell ref="D126:E126"/>
    <mergeCell ref="F126:G126"/>
    <mergeCell ref="D115:E115"/>
    <mergeCell ref="A107:A109"/>
    <mergeCell ref="B107:B108"/>
    <mergeCell ref="A17:A19"/>
    <mergeCell ref="J42:J43"/>
    <mergeCell ref="A68:A70"/>
    <mergeCell ref="B68:B69"/>
    <mergeCell ref="C68:C69"/>
    <mergeCell ref="A82:A84"/>
    <mergeCell ref="D42:E42"/>
    <mergeCell ref="F42:G42"/>
    <mergeCell ref="H42:I42"/>
    <mergeCell ref="H126:I126"/>
    <mergeCell ref="D155:E155"/>
    <mergeCell ref="F155:G155"/>
    <mergeCell ref="H155:I155"/>
    <mergeCell ref="A155:A157"/>
    <mergeCell ref="D68:D69"/>
    <mergeCell ref="C82:E82"/>
    <mergeCell ref="B82:B83"/>
    <mergeCell ref="F82:F83"/>
    <mergeCell ref="A91:A9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1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65.421875" style="254" bestFit="1" customWidth="1"/>
    <col min="2" max="2" width="10.00390625" style="254" customWidth="1"/>
    <col min="3" max="3" width="14.28125" style="254" bestFit="1" customWidth="1"/>
    <col min="4" max="12" width="10.00390625" style="254" customWidth="1"/>
    <col min="13" max="13" width="7.421875" style="254" customWidth="1"/>
    <col min="14" max="14" width="9.140625" style="254" customWidth="1"/>
    <col min="15" max="15" width="7.8515625" style="254" customWidth="1"/>
    <col min="16" max="17" width="9.140625" style="254" customWidth="1"/>
    <col min="18" max="18" width="7.7109375" style="254" customWidth="1"/>
    <col min="19" max="19" width="9.140625" style="254" customWidth="1"/>
    <col min="20" max="20" width="7.57421875" style="254" customWidth="1"/>
    <col min="21" max="21" width="9.140625" style="254" customWidth="1"/>
    <col min="22" max="23" width="7.7109375" style="254" customWidth="1"/>
    <col min="24" max="24" width="8.00390625" style="254" customWidth="1"/>
    <col min="25" max="16384" width="9.140625" style="254" customWidth="1"/>
  </cols>
  <sheetData>
    <row r="1" s="4" customFormat="1" ht="12.75"/>
    <row r="2" s="4" customFormat="1" ht="25.5" customHeight="1">
      <c r="A2" s="251" t="s">
        <v>1051</v>
      </c>
    </row>
    <row r="3" s="4" customFormat="1" ht="15.75" customHeight="1">
      <c r="A3" s="252" t="s">
        <v>1052</v>
      </c>
    </row>
    <row r="4" s="4" customFormat="1" ht="15.75" customHeight="1">
      <c r="A4" s="252" t="s">
        <v>1053</v>
      </c>
    </row>
    <row r="5" s="4" customFormat="1" ht="15.75" customHeight="1">
      <c r="A5" s="252" t="s">
        <v>1054</v>
      </c>
    </row>
    <row r="6" spans="1:23" s="4" customFormat="1" ht="15.75">
      <c r="A6" s="253" t="s">
        <v>345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</row>
    <row r="7" s="4" customFormat="1" ht="12.75"/>
    <row r="8" spans="1:23" ht="12.75">
      <c r="A8" s="255" t="s">
        <v>1051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</row>
    <row r="9" spans="1:23" s="4" customFormat="1" ht="12.75">
      <c r="A9" s="186" t="s">
        <v>68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</row>
    <row r="10" spans="1:24" s="4" customFormat="1" ht="12.75">
      <c r="A10" s="256" t="s">
        <v>145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</row>
    <row r="11" spans="1:24" s="4" customFormat="1" ht="12.75" customHeight="1">
      <c r="A11" s="1000" t="s">
        <v>70</v>
      </c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1000"/>
      <c r="W11" s="1000"/>
      <c r="X11" s="257"/>
    </row>
    <row r="12" spans="1:24" s="4" customFormat="1" ht="12.75" customHeight="1">
      <c r="A12" s="258" t="s">
        <v>1055</v>
      </c>
      <c r="B12" s="187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7"/>
    </row>
    <row r="13" spans="1:24" s="4" customFormat="1" ht="12.75" hidden="1">
      <c r="A13" s="1000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1000"/>
      <c r="W13" s="1000"/>
      <c r="X13" s="257"/>
    </row>
    <row r="14" spans="1:24" s="4" customFormat="1" ht="12.75" hidden="1">
      <c r="A14" s="1000"/>
      <c r="B14" s="1000"/>
      <c r="C14" s="1000"/>
      <c r="D14" s="1000"/>
      <c r="E14" s="1000"/>
      <c r="F14" s="1000"/>
      <c r="G14" s="1000"/>
      <c r="H14" s="1000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257"/>
    </row>
    <row r="15" spans="1:24" s="4" customFormat="1" ht="12.75">
      <c r="A15" s="1001"/>
      <c r="B15" s="1001"/>
      <c r="C15" s="1001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1"/>
      <c r="O15" s="1001"/>
      <c r="P15" s="1001"/>
      <c r="Q15" s="1001"/>
      <c r="R15" s="1001"/>
      <c r="S15" s="1001"/>
      <c r="T15" s="1001"/>
      <c r="U15" s="1001"/>
      <c r="V15" s="1001"/>
      <c r="W15" s="1001"/>
      <c r="X15" s="257"/>
    </row>
    <row r="16" spans="1:20" s="4" customFormat="1" ht="12.75">
      <c r="A16" s="260" t="s">
        <v>346</v>
      </c>
      <c r="B16" s="260"/>
      <c r="C16" s="260"/>
      <c r="D16" s="261" t="s">
        <v>607</v>
      </c>
      <c r="E16" s="262"/>
      <c r="F16" s="999"/>
      <c r="G16" s="999"/>
      <c r="H16" s="999"/>
      <c r="I16" s="999"/>
      <c r="J16" s="262"/>
      <c r="K16" s="999"/>
      <c r="L16" s="999"/>
      <c r="M16" s="999"/>
      <c r="N16" s="999"/>
      <c r="O16" s="263"/>
      <c r="P16" s="263"/>
      <c r="Q16" s="263"/>
      <c r="R16" s="264"/>
      <c r="S16" s="51"/>
      <c r="T16" s="51"/>
    </row>
    <row r="17" spans="1:5" s="267" customFormat="1" ht="11.25" customHeight="1">
      <c r="A17" s="997" t="s">
        <v>140</v>
      </c>
      <c r="B17" s="265" t="s">
        <v>107</v>
      </c>
      <c r="C17" s="991" t="s">
        <v>141</v>
      </c>
      <c r="D17" s="992"/>
      <c r="E17" s="266"/>
    </row>
    <row r="18" spans="1:5" s="267" customFormat="1" ht="11.25" customHeight="1">
      <c r="A18" s="998"/>
      <c r="B18" s="268" t="s">
        <v>633</v>
      </c>
      <c r="C18" s="269" t="str">
        <f>CONCATENATE("No  ",B12)</f>
        <v>No  Bimestre</v>
      </c>
      <c r="D18" s="995" t="str">
        <f>CONCATENATE("Até o  ",B12)</f>
        <v>Até o  Bimestre</v>
      </c>
      <c r="E18" s="270"/>
    </row>
    <row r="19" spans="1:5" s="267" customFormat="1" ht="11.25" customHeight="1">
      <c r="A19" s="271"/>
      <c r="B19" s="268" t="s">
        <v>149</v>
      </c>
      <c r="C19" s="272"/>
      <c r="D19" s="996"/>
      <c r="E19" s="268"/>
    </row>
    <row r="20" spans="1:5" s="267" customFormat="1" ht="11.25" customHeight="1">
      <c r="A20" s="273"/>
      <c r="B20" s="274" t="s">
        <v>79</v>
      </c>
      <c r="C20" s="275"/>
      <c r="D20" s="275" t="s">
        <v>80</v>
      </c>
      <c r="E20" s="270"/>
    </row>
    <row r="21" spans="1:5" s="267" customFormat="1" ht="11.25" customHeight="1">
      <c r="A21" s="276" t="s">
        <v>142</v>
      </c>
      <c r="B21" s="27">
        <f>B22</f>
        <v>0</v>
      </c>
      <c r="C21" s="27">
        <f>C22</f>
        <v>0</v>
      </c>
      <c r="D21" s="27">
        <f>D22</f>
        <v>0</v>
      </c>
      <c r="E21" s="277"/>
    </row>
    <row r="22" spans="1:5" s="267" customFormat="1" ht="11.25" customHeight="1">
      <c r="A22" s="278" t="s">
        <v>671</v>
      </c>
      <c r="B22" s="29"/>
      <c r="C22" s="28"/>
      <c r="D22" s="141"/>
      <c r="E22" s="277"/>
    </row>
    <row r="23" spans="1:5" s="267" customFormat="1" ht="11.25" customHeight="1">
      <c r="A23" s="276" t="s">
        <v>672</v>
      </c>
      <c r="B23" s="27">
        <f>SUM(B24:B26)</f>
        <v>0</v>
      </c>
      <c r="C23" s="27">
        <f>SUM(C24:C26)</f>
        <v>0</v>
      </c>
      <c r="D23" s="27">
        <f>SUM(D24:D26)</f>
        <v>0</v>
      </c>
      <c r="E23" s="277"/>
    </row>
    <row r="24" spans="1:5" s="267" customFormat="1" ht="11.25" customHeight="1">
      <c r="A24" s="278" t="s">
        <v>673</v>
      </c>
      <c r="B24" s="29"/>
      <c r="C24" s="28"/>
      <c r="D24" s="141"/>
      <c r="E24" s="277"/>
    </row>
    <row r="25" spans="1:5" s="267" customFormat="1" ht="11.25" customHeight="1">
      <c r="A25" s="278" t="s">
        <v>143</v>
      </c>
      <c r="B25" s="29"/>
      <c r="C25" s="28"/>
      <c r="D25" s="141"/>
      <c r="E25" s="277"/>
    </row>
    <row r="26" spans="1:5" s="267" customFormat="1" ht="11.25" customHeight="1">
      <c r="A26" s="278" t="s">
        <v>674</v>
      </c>
      <c r="B26" s="109"/>
      <c r="C26" s="110"/>
      <c r="D26" s="279"/>
      <c r="E26" s="277"/>
    </row>
    <row r="27" spans="1:5" s="267" customFormat="1" ht="11.25" customHeight="1">
      <c r="A27" s="276" t="s">
        <v>675</v>
      </c>
      <c r="B27" s="27">
        <f>SUM(B28:B31)</f>
        <v>0</v>
      </c>
      <c r="C27" s="27">
        <f>SUM(C28:C31)</f>
        <v>0</v>
      </c>
      <c r="D27" s="27">
        <f>SUM(D28:D31)</f>
        <v>0</v>
      </c>
      <c r="E27" s="277"/>
    </row>
    <row r="28" spans="1:5" s="267" customFormat="1" ht="11.25" customHeight="1">
      <c r="A28" s="278" t="s">
        <v>676</v>
      </c>
      <c r="B28" s="29"/>
      <c r="C28" s="28"/>
      <c r="D28" s="141"/>
      <c r="E28" s="277"/>
    </row>
    <row r="29" spans="1:5" s="267" customFormat="1" ht="11.25" customHeight="1">
      <c r="A29" s="278" t="s">
        <v>811</v>
      </c>
      <c r="B29" s="29"/>
      <c r="C29" s="28"/>
      <c r="D29" s="141"/>
      <c r="E29" s="277"/>
    </row>
    <row r="30" spans="1:5" s="267" customFormat="1" ht="11.25" customHeight="1">
      <c r="A30" s="278" t="s">
        <v>812</v>
      </c>
      <c r="B30" s="29"/>
      <c r="C30" s="28"/>
      <c r="D30" s="141"/>
      <c r="E30" s="277"/>
    </row>
    <row r="31" spans="1:5" s="267" customFormat="1" ht="11.25" customHeight="1">
      <c r="A31" s="280" t="s">
        <v>813</v>
      </c>
      <c r="B31" s="109"/>
      <c r="C31" s="110"/>
      <c r="D31" s="279"/>
      <c r="E31" s="277"/>
    </row>
    <row r="32" spans="1:24" s="267" customFormat="1" ht="11.25" customHeight="1">
      <c r="A32" s="281"/>
      <c r="B32" s="282"/>
      <c r="C32" s="282"/>
      <c r="D32" s="282"/>
      <c r="E32" s="282"/>
      <c r="F32" s="282"/>
      <c r="G32" s="283"/>
      <c r="H32" s="282"/>
      <c r="I32" s="282"/>
      <c r="J32" s="282"/>
      <c r="K32" s="282"/>
      <c r="L32" s="282"/>
      <c r="M32" s="282"/>
      <c r="N32" s="283"/>
      <c r="O32" s="282"/>
      <c r="P32" s="282"/>
      <c r="Q32" s="282"/>
      <c r="R32" s="282"/>
      <c r="S32" s="282"/>
      <c r="T32" s="282"/>
      <c r="U32" s="284"/>
      <c r="V32" s="285"/>
      <c r="W32" s="285"/>
      <c r="X32" s="286"/>
    </row>
    <row r="33" spans="1:24" s="267" customFormat="1" ht="11.25" customHeight="1" hidden="1">
      <c r="A33" s="281"/>
      <c r="B33" s="282"/>
      <c r="C33" s="282"/>
      <c r="D33" s="282"/>
      <c r="E33" s="282"/>
      <c r="F33" s="282"/>
      <c r="G33" s="283"/>
      <c r="H33" s="282"/>
      <c r="I33" s="282"/>
      <c r="J33" s="282"/>
      <c r="K33" s="282"/>
      <c r="L33" s="282"/>
      <c r="M33" s="282"/>
      <c r="N33" s="283"/>
      <c r="O33" s="282"/>
      <c r="P33" s="282"/>
      <c r="Q33" s="282"/>
      <c r="R33" s="282"/>
      <c r="S33" s="282"/>
      <c r="T33" s="282"/>
      <c r="U33" s="284"/>
      <c r="V33" s="285"/>
      <c r="W33" s="285"/>
      <c r="X33" s="286"/>
    </row>
    <row r="34" spans="1:24" s="267" customFormat="1" ht="11.25" customHeight="1" hidden="1">
      <c r="A34" s="281"/>
      <c r="B34" s="282"/>
      <c r="C34" s="282"/>
      <c r="D34" s="282"/>
      <c r="E34" s="282"/>
      <c r="F34" s="282"/>
      <c r="G34" s="283"/>
      <c r="H34" s="282"/>
      <c r="I34" s="282"/>
      <c r="J34" s="282"/>
      <c r="K34" s="282"/>
      <c r="L34" s="282"/>
      <c r="M34" s="282"/>
      <c r="N34" s="283"/>
      <c r="O34" s="282"/>
      <c r="P34" s="282"/>
      <c r="Q34" s="282"/>
      <c r="R34" s="282"/>
      <c r="S34" s="282"/>
      <c r="T34" s="282"/>
      <c r="U34" s="284"/>
      <c r="V34" s="285"/>
      <c r="W34" s="285"/>
      <c r="X34" s="286"/>
    </row>
    <row r="35" spans="1:24" s="267" customFormat="1" ht="11.25" customHeight="1" hidden="1">
      <c r="A35" s="281"/>
      <c r="B35" s="282"/>
      <c r="C35" s="282"/>
      <c r="D35" s="282"/>
      <c r="E35" s="282"/>
      <c r="F35" s="282"/>
      <c r="G35" s="283"/>
      <c r="H35" s="282"/>
      <c r="I35" s="282"/>
      <c r="J35" s="282"/>
      <c r="K35" s="282"/>
      <c r="L35" s="282"/>
      <c r="M35" s="282"/>
      <c r="N35" s="283"/>
      <c r="O35" s="282"/>
      <c r="P35" s="282"/>
      <c r="Q35" s="282"/>
      <c r="R35" s="282"/>
      <c r="S35" s="282"/>
      <c r="T35" s="282"/>
      <c r="U35" s="284"/>
      <c r="V35" s="285"/>
      <c r="W35" s="285"/>
      <c r="X35" s="286"/>
    </row>
    <row r="36" spans="1:24" s="267" customFormat="1" ht="11.25" customHeight="1" hidden="1">
      <c r="A36" s="281"/>
      <c r="B36" s="282"/>
      <c r="C36" s="282"/>
      <c r="D36" s="282"/>
      <c r="E36" s="282"/>
      <c r="F36" s="282"/>
      <c r="G36" s="283"/>
      <c r="H36" s="282"/>
      <c r="I36" s="282"/>
      <c r="J36" s="282"/>
      <c r="K36" s="282"/>
      <c r="L36" s="282"/>
      <c r="M36" s="282"/>
      <c r="N36" s="283"/>
      <c r="O36" s="282"/>
      <c r="P36" s="282"/>
      <c r="Q36" s="282"/>
      <c r="R36" s="282"/>
      <c r="S36" s="282"/>
      <c r="T36" s="282"/>
      <c r="U36" s="284"/>
      <c r="V36" s="285"/>
      <c r="W36" s="285"/>
      <c r="X36" s="286"/>
    </row>
    <row r="37" spans="1:24" s="267" customFormat="1" ht="11.25" customHeight="1" hidden="1">
      <c r="A37" s="281"/>
      <c r="B37" s="282"/>
      <c r="C37" s="282"/>
      <c r="D37" s="282"/>
      <c r="E37" s="282"/>
      <c r="F37" s="282"/>
      <c r="G37" s="283"/>
      <c r="H37" s="282"/>
      <c r="I37" s="282"/>
      <c r="J37" s="282"/>
      <c r="K37" s="282"/>
      <c r="L37" s="282"/>
      <c r="M37" s="282"/>
      <c r="N37" s="283"/>
      <c r="O37" s="282"/>
      <c r="P37" s="282"/>
      <c r="Q37" s="282"/>
      <c r="R37" s="282"/>
      <c r="S37" s="282"/>
      <c r="T37" s="282"/>
      <c r="U37" s="284"/>
      <c r="V37" s="285"/>
      <c r="W37" s="285"/>
      <c r="X37" s="286"/>
    </row>
    <row r="38" spans="1:24" s="267" customFormat="1" ht="11.25" customHeight="1" hidden="1">
      <c r="A38" s="281"/>
      <c r="B38" s="282"/>
      <c r="C38" s="282"/>
      <c r="D38" s="282"/>
      <c r="E38" s="282"/>
      <c r="F38" s="282"/>
      <c r="G38" s="283"/>
      <c r="H38" s="282"/>
      <c r="I38" s="282"/>
      <c r="J38" s="282"/>
      <c r="K38" s="282"/>
      <c r="L38" s="282"/>
      <c r="M38" s="282"/>
      <c r="N38" s="283"/>
      <c r="O38" s="282"/>
      <c r="P38" s="282"/>
      <c r="Q38" s="282"/>
      <c r="R38" s="282"/>
      <c r="S38" s="282"/>
      <c r="T38" s="282"/>
      <c r="U38" s="284"/>
      <c r="V38" s="285"/>
      <c r="W38" s="285"/>
      <c r="X38" s="286"/>
    </row>
    <row r="39" spans="1:24" s="267" customFormat="1" ht="11.25" customHeight="1" hidden="1">
      <c r="A39" s="281"/>
      <c r="B39" s="282"/>
      <c r="C39" s="282"/>
      <c r="D39" s="282"/>
      <c r="E39" s="282"/>
      <c r="F39" s="282"/>
      <c r="G39" s="283"/>
      <c r="H39" s="282"/>
      <c r="I39" s="282"/>
      <c r="J39" s="282"/>
      <c r="K39" s="282"/>
      <c r="L39" s="282"/>
      <c r="M39" s="282"/>
      <c r="N39" s="283"/>
      <c r="O39" s="282"/>
      <c r="P39" s="282"/>
      <c r="Q39" s="282"/>
      <c r="R39" s="282"/>
      <c r="S39" s="282"/>
      <c r="T39" s="282"/>
      <c r="U39" s="284"/>
      <c r="V39" s="285"/>
      <c r="W39" s="285"/>
      <c r="X39" s="286"/>
    </row>
    <row r="40" spans="1:24" ht="11.25" customHeight="1" hidden="1">
      <c r="A40" s="287"/>
      <c r="B40" s="287"/>
      <c r="C40" s="287"/>
      <c r="D40" s="287"/>
      <c r="E40" s="287"/>
      <c r="F40" s="287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9"/>
      <c r="V40" s="289"/>
      <c r="W40" s="289"/>
      <c r="X40" s="290"/>
    </row>
    <row r="41" spans="1:24" s="293" customFormat="1" ht="11.25" customHeight="1">
      <c r="A41" s="291"/>
      <c r="B41" s="292" t="s">
        <v>148</v>
      </c>
      <c r="C41" s="292" t="s">
        <v>195</v>
      </c>
      <c r="D41" s="292" t="s">
        <v>219</v>
      </c>
      <c r="E41" s="292" t="s">
        <v>220</v>
      </c>
      <c r="F41" s="292" t="s">
        <v>221</v>
      </c>
      <c r="G41" s="292" t="s">
        <v>222</v>
      </c>
      <c r="H41" s="292" t="s">
        <v>223</v>
      </c>
      <c r="I41" s="292" t="s">
        <v>224</v>
      </c>
      <c r="J41" s="292" t="s">
        <v>225</v>
      </c>
      <c r="K41" s="269" t="s">
        <v>226</v>
      </c>
      <c r="L41" s="269" t="s">
        <v>227</v>
      </c>
      <c r="X41" s="294"/>
    </row>
    <row r="42" spans="1:24" ht="11.25" customHeight="1">
      <c r="A42" s="295" t="s">
        <v>144</v>
      </c>
      <c r="B42" s="296" t="s">
        <v>149</v>
      </c>
      <c r="C42" s="268" t="s">
        <v>147</v>
      </c>
      <c r="D42" s="268"/>
      <c r="E42" s="268"/>
      <c r="F42" s="268"/>
      <c r="G42" s="268"/>
      <c r="H42" s="268"/>
      <c r="I42" s="268"/>
      <c r="J42" s="268"/>
      <c r="K42" s="272"/>
      <c r="L42" s="272"/>
      <c r="X42" s="294"/>
    </row>
    <row r="43" spans="1:24" ht="11.25" customHeight="1">
      <c r="A43" s="297"/>
      <c r="B43" s="298"/>
      <c r="C43" s="274" t="s">
        <v>146</v>
      </c>
      <c r="D43" s="274"/>
      <c r="E43" s="274"/>
      <c r="F43" s="274"/>
      <c r="G43" s="274"/>
      <c r="H43" s="274"/>
      <c r="I43" s="274"/>
      <c r="J43" s="274"/>
      <c r="K43" s="299"/>
      <c r="L43" s="299"/>
      <c r="X43" s="294"/>
    </row>
    <row r="44" spans="1:24" ht="11.25" customHeight="1">
      <c r="A44" s="300" t="s">
        <v>916</v>
      </c>
      <c r="B44" s="29">
        <f aca="true" t="shared" si="0" ref="B44:L44">SUM(B45:B49)</f>
        <v>0</v>
      </c>
      <c r="C44" s="29">
        <f t="shared" si="0"/>
        <v>0</v>
      </c>
      <c r="D44" s="29">
        <f t="shared" si="0"/>
        <v>0</v>
      </c>
      <c r="E44" s="29">
        <f t="shared" si="0"/>
        <v>0</v>
      </c>
      <c r="F44" s="29">
        <f t="shared" si="0"/>
        <v>0</v>
      </c>
      <c r="G44" s="29">
        <f t="shared" si="0"/>
        <v>0</v>
      </c>
      <c r="H44" s="29">
        <f t="shared" si="0"/>
        <v>0</v>
      </c>
      <c r="I44" s="29">
        <f t="shared" si="0"/>
        <v>0</v>
      </c>
      <c r="J44" s="29">
        <f t="shared" si="0"/>
        <v>0</v>
      </c>
      <c r="K44" s="29">
        <f t="shared" si="0"/>
        <v>0</v>
      </c>
      <c r="L44" s="26">
        <f t="shared" si="0"/>
        <v>0</v>
      </c>
      <c r="X44" s="301"/>
    </row>
    <row r="45" spans="1:24" ht="11.25" customHeight="1">
      <c r="A45" s="300"/>
      <c r="B45" s="29"/>
      <c r="C45" s="29"/>
      <c r="D45" s="29"/>
      <c r="E45" s="29"/>
      <c r="F45" s="29"/>
      <c r="G45" s="29"/>
      <c r="H45" s="29"/>
      <c r="I45" s="29"/>
      <c r="J45" s="29"/>
      <c r="K45" s="28"/>
      <c r="L45" s="28"/>
      <c r="X45" s="301"/>
    </row>
    <row r="46" spans="1:24" ht="11.25" customHeight="1">
      <c r="A46" s="300"/>
      <c r="B46" s="29"/>
      <c r="C46" s="29"/>
      <c r="D46" s="29"/>
      <c r="E46" s="29"/>
      <c r="F46" s="29"/>
      <c r="G46" s="29"/>
      <c r="H46" s="29"/>
      <c r="I46" s="29"/>
      <c r="J46" s="29"/>
      <c r="K46" s="28"/>
      <c r="L46" s="28"/>
      <c r="X46" s="301"/>
    </row>
    <row r="47" spans="1:24" ht="11.25" customHeight="1">
      <c r="A47" s="300"/>
      <c r="B47" s="29"/>
      <c r="C47" s="29"/>
      <c r="D47" s="29"/>
      <c r="E47" s="29"/>
      <c r="F47" s="29"/>
      <c r="G47" s="29"/>
      <c r="H47" s="29"/>
      <c r="I47" s="29"/>
      <c r="J47" s="29"/>
      <c r="K47" s="28"/>
      <c r="L47" s="28"/>
      <c r="X47" s="301"/>
    </row>
    <row r="48" spans="1:24" ht="11.25" customHeight="1">
      <c r="A48" s="300"/>
      <c r="B48" s="29"/>
      <c r="C48" s="29"/>
      <c r="D48" s="29"/>
      <c r="E48" s="29"/>
      <c r="F48" s="29"/>
      <c r="G48" s="29"/>
      <c r="H48" s="29"/>
      <c r="I48" s="29"/>
      <c r="J48" s="29"/>
      <c r="K48" s="28"/>
      <c r="L48" s="28"/>
      <c r="X48" s="301"/>
    </row>
    <row r="49" spans="1:24" ht="11.25" customHeight="1">
      <c r="A49" s="300"/>
      <c r="B49" s="29"/>
      <c r="C49" s="29"/>
      <c r="D49" s="29"/>
      <c r="E49" s="29"/>
      <c r="F49" s="29"/>
      <c r="G49" s="29"/>
      <c r="H49" s="29"/>
      <c r="I49" s="29"/>
      <c r="J49" s="29"/>
      <c r="K49" s="28"/>
      <c r="L49" s="28"/>
      <c r="X49" s="301"/>
    </row>
    <row r="50" spans="1:24" ht="11.25" customHeight="1">
      <c r="A50" s="300" t="s">
        <v>917</v>
      </c>
      <c r="B50" s="29">
        <f aca="true" t="shared" si="1" ref="B50:L50">SUM(B51:B55)</f>
        <v>0</v>
      </c>
      <c r="C50" s="29">
        <f t="shared" si="1"/>
        <v>0</v>
      </c>
      <c r="D50" s="29">
        <f t="shared" si="1"/>
        <v>0</v>
      </c>
      <c r="E50" s="29">
        <f t="shared" si="1"/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8">
        <f t="shared" si="1"/>
        <v>0</v>
      </c>
      <c r="X50" s="301"/>
    </row>
    <row r="51" spans="1:24" ht="11.25" customHeight="1">
      <c r="A51" s="300"/>
      <c r="B51" s="29"/>
      <c r="C51" s="29"/>
      <c r="D51" s="29"/>
      <c r="E51" s="29"/>
      <c r="F51" s="29"/>
      <c r="G51" s="29"/>
      <c r="H51" s="29"/>
      <c r="I51" s="29"/>
      <c r="J51" s="29"/>
      <c r="K51" s="28"/>
      <c r="L51" s="28"/>
      <c r="X51" s="301"/>
    </row>
    <row r="52" spans="1:24" ht="11.25" customHeight="1">
      <c r="A52" s="302"/>
      <c r="B52" s="29"/>
      <c r="C52" s="29"/>
      <c r="D52" s="29"/>
      <c r="E52" s="29"/>
      <c r="F52" s="29"/>
      <c r="G52" s="29"/>
      <c r="H52" s="29"/>
      <c r="I52" s="29"/>
      <c r="J52" s="29"/>
      <c r="K52" s="28"/>
      <c r="L52" s="28"/>
      <c r="X52" s="301"/>
    </row>
    <row r="53" spans="1:24" ht="11.25" customHeight="1">
      <c r="A53" s="302"/>
      <c r="B53" s="29"/>
      <c r="C53" s="29"/>
      <c r="D53" s="29"/>
      <c r="E53" s="29"/>
      <c r="F53" s="29"/>
      <c r="G53" s="29"/>
      <c r="H53" s="29"/>
      <c r="I53" s="29"/>
      <c r="J53" s="29"/>
      <c r="K53" s="28"/>
      <c r="L53" s="28"/>
      <c r="X53" s="301"/>
    </row>
    <row r="54" spans="1:24" ht="11.25" customHeight="1">
      <c r="A54" s="302"/>
      <c r="B54" s="29"/>
      <c r="C54" s="29"/>
      <c r="D54" s="29"/>
      <c r="E54" s="29"/>
      <c r="F54" s="29"/>
      <c r="G54" s="29"/>
      <c r="H54" s="29"/>
      <c r="I54" s="29"/>
      <c r="J54" s="29"/>
      <c r="K54" s="28"/>
      <c r="L54" s="28"/>
      <c r="X54" s="301"/>
    </row>
    <row r="55" spans="1:24" ht="11.25" customHeight="1">
      <c r="A55" s="302"/>
      <c r="B55" s="29"/>
      <c r="C55" s="29"/>
      <c r="D55" s="29"/>
      <c r="E55" s="29"/>
      <c r="F55" s="29"/>
      <c r="G55" s="29"/>
      <c r="H55" s="29"/>
      <c r="I55" s="29"/>
      <c r="J55" s="29"/>
      <c r="K55" s="28"/>
      <c r="L55" s="28"/>
      <c r="X55" s="301"/>
    </row>
    <row r="56" spans="1:24" ht="11.25" customHeight="1">
      <c r="A56" s="300" t="s">
        <v>918</v>
      </c>
      <c r="B56" s="29">
        <f aca="true" t="shared" si="2" ref="B56:L56">SUM(B57:B61)</f>
        <v>0</v>
      </c>
      <c r="C56" s="29">
        <f t="shared" si="2"/>
        <v>0</v>
      </c>
      <c r="D56" s="29">
        <f t="shared" si="2"/>
        <v>0</v>
      </c>
      <c r="E56" s="29">
        <f t="shared" si="2"/>
        <v>0</v>
      </c>
      <c r="F56" s="29">
        <f t="shared" si="2"/>
        <v>0</v>
      </c>
      <c r="G56" s="29">
        <f t="shared" si="2"/>
        <v>0</v>
      </c>
      <c r="H56" s="29">
        <f t="shared" si="2"/>
        <v>0</v>
      </c>
      <c r="I56" s="29">
        <f t="shared" si="2"/>
        <v>0</v>
      </c>
      <c r="J56" s="29">
        <f t="shared" si="2"/>
        <v>0</v>
      </c>
      <c r="K56" s="29">
        <f t="shared" si="2"/>
        <v>0</v>
      </c>
      <c r="L56" s="28">
        <f t="shared" si="2"/>
        <v>0</v>
      </c>
      <c r="X56" s="301"/>
    </row>
    <row r="57" spans="1:24" ht="11.25" customHeight="1">
      <c r="A57" s="300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X57" s="301"/>
    </row>
    <row r="58" spans="1:24" ht="11.25" customHeight="1">
      <c r="A58" s="302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X58" s="301"/>
    </row>
    <row r="59" spans="1:24" ht="11.25" customHeight="1">
      <c r="A59" s="302"/>
      <c r="B59" s="29"/>
      <c r="C59" s="29"/>
      <c r="D59" s="29"/>
      <c r="E59" s="29"/>
      <c r="F59" s="29"/>
      <c r="G59" s="29"/>
      <c r="H59" s="29"/>
      <c r="I59" s="29"/>
      <c r="J59" s="29"/>
      <c r="K59" s="28"/>
      <c r="L59" s="28"/>
      <c r="X59" s="301"/>
    </row>
    <row r="60" spans="1:24" ht="11.25" customHeight="1">
      <c r="A60" s="302"/>
      <c r="B60" s="29"/>
      <c r="C60" s="29"/>
      <c r="D60" s="29"/>
      <c r="E60" s="29"/>
      <c r="F60" s="29"/>
      <c r="G60" s="29"/>
      <c r="H60" s="29"/>
      <c r="I60" s="29"/>
      <c r="J60" s="29"/>
      <c r="K60" s="28"/>
      <c r="L60" s="28"/>
      <c r="X60" s="301"/>
    </row>
    <row r="61" spans="1:24" ht="11.25" customHeight="1">
      <c r="A61" s="302"/>
      <c r="B61" s="29"/>
      <c r="C61" s="29"/>
      <c r="D61" s="29"/>
      <c r="E61" s="29"/>
      <c r="F61" s="29"/>
      <c r="G61" s="29"/>
      <c r="H61" s="29"/>
      <c r="I61" s="29"/>
      <c r="J61" s="29"/>
      <c r="K61" s="28"/>
      <c r="L61" s="28"/>
      <c r="X61" s="301"/>
    </row>
    <row r="62" spans="1:24" ht="11.25" customHeight="1">
      <c r="A62" s="300" t="s">
        <v>919</v>
      </c>
      <c r="B62" s="29">
        <f aca="true" t="shared" si="3" ref="B62:L62">SUM(B63:B67)</f>
        <v>0</v>
      </c>
      <c r="C62" s="29">
        <f t="shared" si="3"/>
        <v>0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9">
        <f t="shared" si="3"/>
        <v>0</v>
      </c>
      <c r="J62" s="29">
        <f t="shared" si="3"/>
        <v>0</v>
      </c>
      <c r="K62" s="29">
        <f t="shared" si="3"/>
        <v>0</v>
      </c>
      <c r="L62" s="28">
        <f t="shared" si="3"/>
        <v>0</v>
      </c>
      <c r="X62" s="301"/>
    </row>
    <row r="63" spans="1:24" ht="11.25" customHeight="1">
      <c r="A63" s="300"/>
      <c r="B63" s="29"/>
      <c r="C63" s="29"/>
      <c r="D63" s="29"/>
      <c r="E63" s="29"/>
      <c r="F63" s="29"/>
      <c r="G63" s="29"/>
      <c r="H63" s="29"/>
      <c r="I63" s="29"/>
      <c r="J63" s="29"/>
      <c r="K63" s="28"/>
      <c r="L63" s="28"/>
      <c r="X63" s="301"/>
    </row>
    <row r="64" spans="1:24" ht="11.25" customHeight="1">
      <c r="A64" s="302"/>
      <c r="B64" s="29"/>
      <c r="C64" s="29"/>
      <c r="D64" s="29"/>
      <c r="E64" s="29"/>
      <c r="F64" s="29"/>
      <c r="G64" s="29"/>
      <c r="H64" s="29"/>
      <c r="I64" s="29"/>
      <c r="J64" s="29"/>
      <c r="K64" s="28"/>
      <c r="L64" s="28"/>
      <c r="X64" s="301"/>
    </row>
    <row r="65" spans="1:24" ht="11.25" customHeight="1">
      <c r="A65" s="302"/>
      <c r="B65" s="29"/>
      <c r="C65" s="29"/>
      <c r="D65" s="29"/>
      <c r="E65" s="29"/>
      <c r="F65" s="29"/>
      <c r="G65" s="29"/>
      <c r="H65" s="29"/>
      <c r="I65" s="29"/>
      <c r="J65" s="29"/>
      <c r="K65" s="28"/>
      <c r="L65" s="28"/>
      <c r="X65" s="301"/>
    </row>
    <row r="66" spans="1:24" ht="11.25" customHeight="1">
      <c r="A66" s="302"/>
      <c r="B66" s="29"/>
      <c r="C66" s="29"/>
      <c r="D66" s="29"/>
      <c r="E66" s="29"/>
      <c r="F66" s="29"/>
      <c r="G66" s="29"/>
      <c r="H66" s="29"/>
      <c r="I66" s="29"/>
      <c r="J66" s="29"/>
      <c r="K66" s="28"/>
      <c r="L66" s="28"/>
      <c r="X66" s="301"/>
    </row>
    <row r="67" spans="1:24" ht="11.25" customHeight="1">
      <c r="A67" s="303"/>
      <c r="B67" s="109"/>
      <c r="C67" s="109"/>
      <c r="D67" s="109"/>
      <c r="E67" s="109"/>
      <c r="F67" s="109"/>
      <c r="G67" s="109"/>
      <c r="H67" s="109"/>
      <c r="I67" s="109"/>
      <c r="J67" s="109"/>
      <c r="K67" s="110"/>
      <c r="L67" s="110"/>
      <c r="X67" s="301"/>
    </row>
    <row r="68" spans="1:24" ht="11.25" customHeight="1">
      <c r="A68" s="303" t="s">
        <v>920</v>
      </c>
      <c r="B68" s="69">
        <f aca="true" t="shared" si="4" ref="B68:L68">B44+B50</f>
        <v>0</v>
      </c>
      <c r="C68" s="69">
        <f t="shared" si="4"/>
        <v>0</v>
      </c>
      <c r="D68" s="69">
        <f t="shared" si="4"/>
        <v>0</v>
      </c>
      <c r="E68" s="69">
        <f t="shared" si="4"/>
        <v>0</v>
      </c>
      <c r="F68" s="69">
        <f t="shared" si="4"/>
        <v>0</v>
      </c>
      <c r="G68" s="69">
        <f t="shared" si="4"/>
        <v>0</v>
      </c>
      <c r="H68" s="69">
        <f t="shared" si="4"/>
        <v>0</v>
      </c>
      <c r="I68" s="69">
        <f t="shared" si="4"/>
        <v>0</v>
      </c>
      <c r="J68" s="69">
        <f t="shared" si="4"/>
        <v>0</v>
      </c>
      <c r="K68" s="69">
        <f t="shared" si="4"/>
        <v>0</v>
      </c>
      <c r="L68" s="67">
        <f t="shared" si="4"/>
        <v>0</v>
      </c>
      <c r="X68" s="301"/>
    </row>
    <row r="69" spans="1:24" ht="11.25" customHeight="1">
      <c r="A69" s="303" t="s">
        <v>921</v>
      </c>
      <c r="B69" s="69">
        <f aca="true" t="shared" si="5" ref="B69:L69">B56+B62</f>
        <v>0</v>
      </c>
      <c r="C69" s="69">
        <f t="shared" si="5"/>
        <v>0</v>
      </c>
      <c r="D69" s="69">
        <f t="shared" si="5"/>
        <v>0</v>
      </c>
      <c r="E69" s="69">
        <f t="shared" si="5"/>
        <v>0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0</v>
      </c>
      <c r="J69" s="69">
        <f t="shared" si="5"/>
        <v>0</v>
      </c>
      <c r="K69" s="69">
        <f t="shared" si="5"/>
        <v>0</v>
      </c>
      <c r="L69" s="67">
        <f t="shared" si="5"/>
        <v>0</v>
      </c>
      <c r="X69" s="301"/>
    </row>
    <row r="70" spans="1:24" ht="11.25" customHeight="1">
      <c r="A70" s="303" t="s">
        <v>922</v>
      </c>
      <c r="B70" s="69">
        <f aca="true" t="shared" si="6" ref="B70:L70">B68+B69</f>
        <v>0</v>
      </c>
      <c r="C70" s="69">
        <f t="shared" si="6"/>
        <v>0</v>
      </c>
      <c r="D70" s="69">
        <f t="shared" si="6"/>
        <v>0</v>
      </c>
      <c r="E70" s="69">
        <f t="shared" si="6"/>
        <v>0</v>
      </c>
      <c r="F70" s="69">
        <f t="shared" si="6"/>
        <v>0</v>
      </c>
      <c r="G70" s="69">
        <f t="shared" si="6"/>
        <v>0</v>
      </c>
      <c r="H70" s="69">
        <f t="shared" si="6"/>
        <v>0</v>
      </c>
      <c r="I70" s="69">
        <f t="shared" si="6"/>
        <v>0</v>
      </c>
      <c r="J70" s="69">
        <f t="shared" si="6"/>
        <v>0</v>
      </c>
      <c r="K70" s="69">
        <f t="shared" si="6"/>
        <v>0</v>
      </c>
      <c r="L70" s="67">
        <f t="shared" si="6"/>
        <v>0</v>
      </c>
      <c r="X70" s="301"/>
    </row>
    <row r="71" spans="1:24" ht="11.25" customHeight="1">
      <c r="A71" s="303" t="s">
        <v>923</v>
      </c>
      <c r="B71" s="69"/>
      <c r="C71" s="69">
        <f>'RREO-Anexo 03'!N49</f>
        <v>1085420522.3100002</v>
      </c>
      <c r="D71" s="69"/>
      <c r="E71" s="69"/>
      <c r="F71" s="69"/>
      <c r="G71" s="69"/>
      <c r="H71" s="69"/>
      <c r="I71" s="69"/>
      <c r="J71" s="69"/>
      <c r="K71" s="110"/>
      <c r="L71" s="67"/>
      <c r="X71" s="301"/>
    </row>
    <row r="72" spans="1:25" ht="11.25" customHeight="1">
      <c r="A72" s="303" t="s">
        <v>924</v>
      </c>
      <c r="B72" s="69">
        <f aca="true" t="shared" si="7" ref="B72:L72">B68</f>
        <v>0</v>
      </c>
      <c r="C72" s="69">
        <f t="shared" si="7"/>
        <v>0</v>
      </c>
      <c r="D72" s="69">
        <f t="shared" si="7"/>
        <v>0</v>
      </c>
      <c r="E72" s="69">
        <f t="shared" si="7"/>
        <v>0</v>
      </c>
      <c r="F72" s="69">
        <f t="shared" si="7"/>
        <v>0</v>
      </c>
      <c r="G72" s="69">
        <f t="shared" si="7"/>
        <v>0</v>
      </c>
      <c r="H72" s="69">
        <f t="shared" si="7"/>
        <v>0</v>
      </c>
      <c r="I72" s="69">
        <f t="shared" si="7"/>
        <v>0</v>
      </c>
      <c r="J72" s="69">
        <f t="shared" si="7"/>
        <v>0</v>
      </c>
      <c r="K72" s="69">
        <f t="shared" si="7"/>
        <v>0</v>
      </c>
      <c r="L72" s="67">
        <f t="shared" si="7"/>
        <v>0</v>
      </c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301"/>
      <c r="Y72" s="267"/>
    </row>
    <row r="73" spans="1:25" ht="11.25" customHeight="1">
      <c r="A73" s="303" t="s">
        <v>925</v>
      </c>
      <c r="B73" s="69">
        <f aca="true" t="shared" si="8" ref="B73:L73">IF(B71&gt;0,ROUND(B68/B71,2),0)*100</f>
        <v>0</v>
      </c>
      <c r="C73" s="69">
        <f t="shared" si="8"/>
        <v>0</v>
      </c>
      <c r="D73" s="69">
        <f t="shared" si="8"/>
        <v>0</v>
      </c>
      <c r="E73" s="69">
        <f t="shared" si="8"/>
        <v>0</v>
      </c>
      <c r="F73" s="69">
        <f t="shared" si="8"/>
        <v>0</v>
      </c>
      <c r="G73" s="69">
        <f t="shared" si="8"/>
        <v>0</v>
      </c>
      <c r="H73" s="69">
        <f t="shared" si="8"/>
        <v>0</v>
      </c>
      <c r="I73" s="69">
        <f t="shared" si="8"/>
        <v>0</v>
      </c>
      <c r="J73" s="69">
        <f t="shared" si="8"/>
        <v>0</v>
      </c>
      <c r="K73" s="69">
        <f t="shared" si="8"/>
        <v>0</v>
      </c>
      <c r="L73" s="67">
        <f t="shared" si="8"/>
        <v>0</v>
      </c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301"/>
      <c r="Y73" s="267"/>
    </row>
    <row r="74" spans="1:25" ht="12.75">
      <c r="A74" s="993" t="s">
        <v>1071</v>
      </c>
      <c r="B74" s="994"/>
      <c r="C74" s="994"/>
      <c r="D74" s="994"/>
      <c r="E74" s="994"/>
      <c r="F74" s="994"/>
      <c r="G74" s="994"/>
      <c r="H74" s="994"/>
      <c r="I74" s="994"/>
      <c r="J74" s="994"/>
      <c r="K74" s="994"/>
      <c r="L74" s="99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5"/>
      <c r="Y74" s="267"/>
    </row>
    <row r="75" ht="11.25" customHeight="1">
      <c r="A75" s="267"/>
    </row>
    <row r="80" spans="1:12" ht="11.25" customHeight="1">
      <c r="A80" s="952" t="s">
        <v>1056</v>
      </c>
      <c r="B80" s="952"/>
      <c r="C80" s="952"/>
      <c r="D80" s="823" t="s">
        <v>1058</v>
      </c>
      <c r="E80" s="823"/>
      <c r="F80" s="823"/>
      <c r="G80" s="823"/>
      <c r="H80" s="823"/>
      <c r="I80" s="825" t="s">
        <v>1060</v>
      </c>
      <c r="J80" s="825"/>
      <c r="K80" s="825"/>
      <c r="L80" s="825"/>
    </row>
    <row r="81" spans="1:12" ht="11.25" customHeight="1">
      <c r="A81" s="952" t="s">
        <v>1057</v>
      </c>
      <c r="B81" s="952"/>
      <c r="C81" s="952"/>
      <c r="D81" s="823" t="s">
        <v>1059</v>
      </c>
      <c r="E81" s="823"/>
      <c r="F81" s="823"/>
      <c r="G81" s="823"/>
      <c r="H81" s="823"/>
      <c r="I81" s="825" t="s">
        <v>1061</v>
      </c>
      <c r="J81" s="825"/>
      <c r="K81" s="825"/>
      <c r="L81" s="825"/>
    </row>
  </sheetData>
  <sheetProtection/>
  <mergeCells count="18">
    <mergeCell ref="M16:N16"/>
    <mergeCell ref="A14:W14"/>
    <mergeCell ref="A11:W11"/>
    <mergeCell ref="A13:W13"/>
    <mergeCell ref="K16:L16"/>
    <mergeCell ref="A15:W15"/>
    <mergeCell ref="C17:D17"/>
    <mergeCell ref="A74:L74"/>
    <mergeCell ref="D18:D19"/>
    <mergeCell ref="A17:A18"/>
    <mergeCell ref="F16:G16"/>
    <mergeCell ref="H16:I16"/>
    <mergeCell ref="A80:C80"/>
    <mergeCell ref="A81:C81"/>
    <mergeCell ref="D80:H80"/>
    <mergeCell ref="D81:H81"/>
    <mergeCell ref="I80:L80"/>
    <mergeCell ref="I81:L81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  <colBreaks count="1" manualBreakCount="1">
    <brk id="12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3"/>
  <sheetViews>
    <sheetView showGridLines="0" zoomScalePageLayoutView="0" workbookViewId="0" topLeftCell="A1">
      <selection activeCell="A1" sqref="A1"/>
    </sheetView>
  </sheetViews>
  <sheetFormatPr defaultColWidth="0.9921875" defaultRowHeight="11.25" customHeight="1"/>
  <cols>
    <col min="1" max="1" width="84.7109375" style="183" customWidth="1"/>
    <col min="2" max="2" width="19.00390625" style="183" customWidth="1"/>
    <col min="3" max="3" width="19.00390625" style="249" customWidth="1"/>
    <col min="4" max="5" width="19.00390625" style="183" customWidth="1"/>
    <col min="6" max="59" width="15.7109375" style="183" customWidth="1"/>
    <col min="60" max="16384" width="0.9921875" style="183" customWidth="1"/>
  </cols>
  <sheetData>
    <row r="1" s="87" customFormat="1" ht="12.75">
      <c r="C1" s="179"/>
    </row>
    <row r="2" spans="1:3" s="87" customFormat="1" ht="25.5" customHeight="1">
      <c r="A2" s="180" t="s">
        <v>1051</v>
      </c>
      <c r="C2" s="179"/>
    </row>
    <row r="3" spans="1:3" s="87" customFormat="1" ht="15.75" customHeight="1">
      <c r="A3" s="181" t="s">
        <v>1052</v>
      </c>
      <c r="C3" s="179"/>
    </row>
    <row r="4" spans="1:3" s="87" customFormat="1" ht="15.75" customHeight="1">
      <c r="A4" s="181" t="s">
        <v>1053</v>
      </c>
      <c r="C4" s="179"/>
    </row>
    <row r="5" spans="1:3" s="87" customFormat="1" ht="15.75" customHeight="1">
      <c r="A5" s="181" t="s">
        <v>1054</v>
      </c>
      <c r="C5" s="179"/>
    </row>
    <row r="6" spans="1:23" s="87" customFormat="1" ht="15.75">
      <c r="A6" s="182" t="s">
        <v>347</v>
      </c>
      <c r="B6" s="182"/>
      <c r="C6" s="182"/>
      <c r="D6" s="182"/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1:3" s="87" customFormat="1" ht="12.75">
      <c r="A7" s="184"/>
      <c r="C7" s="179"/>
    </row>
    <row r="8" spans="1:23" ht="12.75">
      <c r="A8" s="185" t="s">
        <v>1051</v>
      </c>
      <c r="B8" s="83"/>
      <c r="C8" s="83"/>
      <c r="D8" s="83"/>
      <c r="E8" s="83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87" customFormat="1" ht="12.75">
      <c r="A9" s="186" t="s">
        <v>68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</row>
    <row r="10" spans="1:5" s="87" customFormat="1" ht="12.75">
      <c r="A10" s="46" t="s">
        <v>215</v>
      </c>
      <c r="B10" s="46"/>
      <c r="C10" s="46"/>
      <c r="D10" s="46"/>
      <c r="E10" s="46"/>
    </row>
    <row r="11" spans="1:5" s="87" customFormat="1" ht="12.75">
      <c r="A11" s="807" t="s">
        <v>70</v>
      </c>
      <c r="B11" s="807"/>
      <c r="C11" s="807"/>
      <c r="D11" s="807"/>
      <c r="E11" s="807"/>
    </row>
    <row r="12" spans="1:2" s="87" customFormat="1" ht="12.75">
      <c r="A12" s="183" t="s">
        <v>1055</v>
      </c>
      <c r="B12" s="187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</row>
    <row r="13" spans="1:5" s="87" customFormat="1" ht="12.75" hidden="1">
      <c r="A13" s="807"/>
      <c r="B13" s="807"/>
      <c r="C13" s="807"/>
      <c r="D13" s="807"/>
      <c r="E13" s="807"/>
    </row>
    <row r="14" spans="1:5" s="87" customFormat="1" ht="12.75" hidden="1">
      <c r="A14" s="807"/>
      <c r="B14" s="807"/>
      <c r="C14" s="807"/>
      <c r="D14" s="807"/>
      <c r="E14" s="807"/>
    </row>
    <row r="15" spans="1:5" s="87" customFormat="1" ht="11.25" customHeight="1" hidden="1">
      <c r="A15" s="83"/>
      <c r="B15" s="83"/>
      <c r="C15" s="83"/>
      <c r="D15" s="83"/>
      <c r="E15" s="83"/>
    </row>
    <row r="16" spans="1:5" s="87" customFormat="1" ht="11.25" customHeight="1" hidden="1">
      <c r="A16" s="83"/>
      <c r="B16" s="83"/>
      <c r="C16" s="83"/>
      <c r="D16" s="83"/>
      <c r="E16" s="83"/>
    </row>
    <row r="17" spans="1:5" s="87" customFormat="1" ht="12.75">
      <c r="A17" s="62"/>
      <c r="B17" s="62"/>
      <c r="C17" s="62"/>
      <c r="D17" s="62"/>
      <c r="E17" s="62"/>
    </row>
    <row r="18" spans="1:3" s="87" customFormat="1" ht="12.75">
      <c r="A18" s="87" t="s">
        <v>4</v>
      </c>
      <c r="B18" s="53" t="s">
        <v>360</v>
      </c>
      <c r="C18" s="179"/>
    </row>
    <row r="19" spans="1:6" s="191" customFormat="1" ht="21" customHeight="1">
      <c r="A19" s="188" t="s">
        <v>69</v>
      </c>
      <c r="B19" s="189" t="str">
        <f>CONCATENATE("Até o  ",B12)</f>
        <v>Até o  Bimestre</v>
      </c>
      <c r="C19" s="190"/>
      <c r="D19" s="190"/>
      <c r="E19" s="190"/>
      <c r="F19" s="190"/>
    </row>
    <row r="20" spans="1:6" ht="11.25" customHeight="1">
      <c r="A20" s="192" t="s">
        <v>73</v>
      </c>
      <c r="B20" s="193"/>
      <c r="C20" s="194"/>
      <c r="D20" s="194"/>
      <c r="E20" s="194"/>
      <c r="F20" s="194"/>
    </row>
    <row r="21" spans="1:6" ht="11.25" customHeight="1">
      <c r="A21" s="195" t="s">
        <v>312</v>
      </c>
      <c r="B21" s="196">
        <f>'RREO-Anexo 01'!B94</f>
        <v>1249055000</v>
      </c>
      <c r="C21" s="194"/>
      <c r="D21" s="194"/>
      <c r="E21" s="194"/>
      <c r="F21" s="194"/>
    </row>
    <row r="22" spans="1:6" ht="11.25" customHeight="1">
      <c r="A22" s="195" t="s">
        <v>313</v>
      </c>
      <c r="B22" s="196">
        <f>'RREO-Anexo 01'!C94</f>
        <v>1255904351.29</v>
      </c>
      <c r="C22" s="194"/>
      <c r="D22" s="194"/>
      <c r="E22" s="194"/>
      <c r="F22" s="194"/>
    </row>
    <row r="23" spans="1:6" ht="11.25" customHeight="1">
      <c r="A23" s="195" t="s">
        <v>38</v>
      </c>
      <c r="B23" s="196">
        <f>'RREO-Anexo 01'!F94</f>
        <v>465805755.02000004</v>
      </c>
      <c r="C23" s="194"/>
      <c r="D23" s="194"/>
      <c r="E23" s="194"/>
      <c r="F23" s="194"/>
    </row>
    <row r="24" spans="1:6" ht="11.25" customHeight="1">
      <c r="A24" s="195" t="s">
        <v>39</v>
      </c>
      <c r="B24" s="196">
        <f>'RREO-Anexo 01'!F95</f>
        <v>0</v>
      </c>
      <c r="C24" s="194"/>
      <c r="D24" s="194"/>
      <c r="E24" s="194"/>
      <c r="F24" s="194"/>
    </row>
    <row r="25" spans="1:6" ht="11.25" customHeight="1">
      <c r="A25" s="195" t="s">
        <v>40</v>
      </c>
      <c r="B25" s="196">
        <f>'RREO-Anexo 01'!F97</f>
        <v>73671718.87</v>
      </c>
      <c r="C25" s="194"/>
      <c r="D25" s="194"/>
      <c r="E25" s="194"/>
      <c r="F25" s="194"/>
    </row>
    <row r="26" spans="1:6" ht="11.25" customHeight="1">
      <c r="A26" s="192" t="s">
        <v>106</v>
      </c>
      <c r="B26" s="196"/>
      <c r="C26" s="194"/>
      <c r="D26" s="194"/>
      <c r="E26" s="194"/>
      <c r="F26" s="194"/>
    </row>
    <row r="27" spans="1:6" ht="11.25" customHeight="1">
      <c r="A27" s="197" t="s">
        <v>41</v>
      </c>
      <c r="B27" s="196">
        <f>'RREO-Anexo 01'!B127</f>
        <v>1171389200</v>
      </c>
      <c r="C27" s="194"/>
      <c r="D27" s="194"/>
      <c r="E27" s="194"/>
      <c r="F27" s="194"/>
    </row>
    <row r="28" spans="1:6" ht="11.25" customHeight="1">
      <c r="A28" s="197" t="s">
        <v>42</v>
      </c>
      <c r="B28" s="196">
        <f>'RREO-Anexo 01'!C127</f>
        <v>1251910270.1599998</v>
      </c>
      <c r="C28" s="194"/>
      <c r="D28" s="194"/>
      <c r="E28" s="194"/>
      <c r="F28" s="194"/>
    </row>
    <row r="29" spans="1:6" ht="11.25" customHeight="1">
      <c r="A29" s="197" t="s">
        <v>43</v>
      </c>
      <c r="B29" s="196">
        <f>'RREO-Anexo 01'!E127</f>
        <v>538804701.09</v>
      </c>
      <c r="C29" s="194"/>
      <c r="D29" s="194"/>
      <c r="E29" s="194"/>
      <c r="F29" s="194"/>
    </row>
    <row r="30" spans="1:6" ht="11.25" customHeight="1">
      <c r="A30" s="195" t="s">
        <v>44</v>
      </c>
      <c r="B30" s="196">
        <f>'RREO-Anexo 01'!H127</f>
        <v>330866206.5500001</v>
      </c>
      <c r="C30" s="194"/>
      <c r="D30" s="194"/>
      <c r="E30" s="194"/>
      <c r="F30" s="194"/>
    </row>
    <row r="31" spans="1:6" ht="11.25" customHeight="1">
      <c r="A31" s="197" t="s">
        <v>593</v>
      </c>
      <c r="B31" s="196">
        <f>'RREO-Anexo 01'!J127</f>
        <v>274501155.03</v>
      </c>
      <c r="C31" s="194"/>
      <c r="D31" s="194"/>
      <c r="E31" s="194"/>
      <c r="F31" s="194"/>
    </row>
    <row r="32" spans="1:6" ht="11.25" customHeight="1">
      <c r="A32" s="198" t="s">
        <v>45</v>
      </c>
      <c r="B32" s="199">
        <f>IF(A12="Período: 6º Bimestre",'RREO-Anexo 01'!E128,'RREO-Anexo 01'!H128)</f>
        <v>134939548.46999997</v>
      </c>
      <c r="C32" s="194"/>
      <c r="D32" s="194"/>
      <c r="E32" s="194"/>
      <c r="F32" s="194"/>
    </row>
    <row r="33" spans="1:6" ht="11.25" customHeight="1">
      <c r="A33" s="200"/>
      <c r="B33" s="201"/>
      <c r="C33" s="194"/>
      <c r="D33" s="194"/>
      <c r="E33" s="194"/>
      <c r="F33" s="194"/>
    </row>
    <row r="34" spans="1:6" ht="11.25" customHeight="1" hidden="1">
      <c r="A34" s="197"/>
      <c r="B34" s="202"/>
      <c r="C34" s="194"/>
      <c r="D34" s="194"/>
      <c r="E34" s="194"/>
      <c r="F34" s="194"/>
    </row>
    <row r="35" spans="1:6" ht="11.25" customHeight="1" hidden="1">
      <c r="A35" s="197"/>
      <c r="B35" s="202"/>
      <c r="C35" s="194"/>
      <c r="D35" s="194"/>
      <c r="E35" s="194"/>
      <c r="F35" s="194"/>
    </row>
    <row r="36" spans="1:6" ht="11.25" customHeight="1" hidden="1">
      <c r="A36" s="197"/>
      <c r="B36" s="202"/>
      <c r="C36" s="194"/>
      <c r="D36" s="194"/>
      <c r="E36" s="194"/>
      <c r="F36" s="194"/>
    </row>
    <row r="37" spans="1:6" ht="11.25" customHeight="1" hidden="1">
      <c r="A37" s="197"/>
      <c r="B37" s="202"/>
      <c r="C37" s="194"/>
      <c r="D37" s="194"/>
      <c r="E37" s="194"/>
      <c r="F37" s="194"/>
    </row>
    <row r="38" spans="1:6" ht="11.25" customHeight="1" hidden="1">
      <c r="A38" s="197"/>
      <c r="B38" s="202"/>
      <c r="C38" s="194"/>
      <c r="D38" s="194"/>
      <c r="E38" s="194"/>
      <c r="F38" s="194"/>
    </row>
    <row r="39" spans="1:6" ht="11.25" customHeight="1" hidden="1">
      <c r="A39" s="198"/>
      <c r="B39" s="203"/>
      <c r="C39" s="194"/>
      <c r="D39" s="194"/>
      <c r="E39" s="194"/>
      <c r="F39" s="194"/>
    </row>
    <row r="40" spans="1:6" s="191" customFormat="1" ht="21" customHeight="1">
      <c r="A40" s="204" t="s">
        <v>218</v>
      </c>
      <c r="B40" s="205" t="str">
        <f>CONCATENATE("Até o  ",B12)</f>
        <v>Até o  Bimestre</v>
      </c>
      <c r="C40" s="190"/>
      <c r="D40" s="190"/>
      <c r="E40" s="190"/>
      <c r="F40" s="190"/>
    </row>
    <row r="41" spans="1:6" ht="11.25" customHeight="1">
      <c r="A41" s="6" t="s">
        <v>216</v>
      </c>
      <c r="B41" s="193">
        <f>'RREO-Anexo 02'!E213</f>
        <v>538804701.09</v>
      </c>
      <c r="C41" s="194"/>
      <c r="D41" s="194"/>
      <c r="E41" s="194"/>
      <c r="F41" s="194"/>
    </row>
    <row r="42" spans="1:6" ht="11.25" customHeight="1">
      <c r="A42" s="206" t="s">
        <v>217</v>
      </c>
      <c r="B42" s="199">
        <f>'RREO-Anexo 02'!I213</f>
        <v>330866206.5500001</v>
      </c>
      <c r="C42" s="194"/>
      <c r="D42" s="194"/>
      <c r="E42" s="194"/>
      <c r="F42" s="194"/>
    </row>
    <row r="43" spans="1:6" ht="11.25" customHeight="1">
      <c r="A43" s="197"/>
      <c r="B43" s="202"/>
      <c r="C43" s="194"/>
      <c r="D43" s="194"/>
      <c r="E43" s="194"/>
      <c r="F43" s="194"/>
    </row>
    <row r="44" spans="1:6" ht="11.25" customHeight="1" hidden="1">
      <c r="A44" s="197"/>
      <c r="B44" s="202"/>
      <c r="C44" s="194"/>
      <c r="D44" s="194"/>
      <c r="E44" s="194"/>
      <c r="F44" s="194"/>
    </row>
    <row r="45" spans="1:6" ht="11.25" customHeight="1" hidden="1">
      <c r="A45" s="197"/>
      <c r="B45" s="202"/>
      <c r="C45" s="194"/>
      <c r="D45" s="194"/>
      <c r="E45" s="194"/>
      <c r="F45" s="194"/>
    </row>
    <row r="46" spans="1:6" ht="11.25" customHeight="1" hidden="1">
      <c r="A46" s="197"/>
      <c r="B46" s="202"/>
      <c r="C46" s="194"/>
      <c r="D46" s="194"/>
      <c r="E46" s="194"/>
      <c r="F46" s="194"/>
    </row>
    <row r="47" spans="1:6" ht="11.25" customHeight="1" hidden="1">
      <c r="A47" s="197"/>
      <c r="B47" s="202"/>
      <c r="C47" s="194"/>
      <c r="D47" s="194"/>
      <c r="E47" s="194"/>
      <c r="F47" s="194"/>
    </row>
    <row r="48" spans="1:6" ht="11.25" customHeight="1" hidden="1">
      <c r="A48" s="197"/>
      <c r="B48" s="202"/>
      <c r="C48" s="194"/>
      <c r="D48" s="194"/>
      <c r="E48" s="194"/>
      <c r="F48" s="194"/>
    </row>
    <row r="49" spans="1:6" ht="11.25" customHeight="1" hidden="1">
      <c r="A49" s="197"/>
      <c r="B49" s="202"/>
      <c r="C49" s="194"/>
      <c r="D49" s="194"/>
      <c r="E49" s="194"/>
      <c r="F49" s="194"/>
    </row>
    <row r="50" spans="1:6" s="191" customFormat="1" ht="23.25" customHeight="1">
      <c r="A50" s="207" t="s">
        <v>228</v>
      </c>
      <c r="B50" s="189" t="str">
        <f>CONCATENATE("Até o  ",B12)</f>
        <v>Até o  Bimestre</v>
      </c>
      <c r="C50" s="190"/>
      <c r="D50" s="190"/>
      <c r="E50" s="190"/>
      <c r="F50" s="190"/>
    </row>
    <row r="51" spans="1:6" ht="11.25" customHeight="1">
      <c r="A51" s="208" t="s">
        <v>229</v>
      </c>
      <c r="B51" s="193">
        <f>'RREO-Anexo 03'!N49</f>
        <v>1085420522.3100002</v>
      </c>
      <c r="C51" s="194"/>
      <c r="D51" s="194"/>
      <c r="E51" s="194"/>
      <c r="F51" s="194"/>
    </row>
    <row r="52" spans="1:6" ht="11.25" customHeight="1">
      <c r="A52" s="6" t="s">
        <v>934</v>
      </c>
      <c r="B52" s="196">
        <f>'RREO-Anexo 03'!N51</f>
        <v>1085173577.7700002</v>
      </c>
      <c r="C52" s="194"/>
      <c r="D52" s="194"/>
      <c r="E52" s="194"/>
      <c r="F52" s="194"/>
    </row>
    <row r="53" spans="1:6" ht="11.25" customHeight="1">
      <c r="A53" s="7" t="s">
        <v>935</v>
      </c>
      <c r="B53" s="199">
        <f>'RREO-Anexo 03'!N53</f>
        <v>1085173577.7700002</v>
      </c>
      <c r="C53" s="194"/>
      <c r="D53" s="194"/>
      <c r="E53" s="194"/>
      <c r="F53" s="194"/>
    </row>
    <row r="54" spans="1:6" ht="11.25" customHeight="1">
      <c r="A54" s="197"/>
      <c r="B54" s="202"/>
      <c r="C54" s="194"/>
      <c r="D54" s="194"/>
      <c r="E54" s="194"/>
      <c r="F54" s="194"/>
    </row>
    <row r="55" spans="1:6" ht="11.25" customHeight="1" hidden="1">
      <c r="A55" s="197"/>
      <c r="B55" s="202"/>
      <c r="C55" s="194"/>
      <c r="D55" s="194"/>
      <c r="E55" s="194"/>
      <c r="F55" s="194"/>
    </row>
    <row r="56" spans="1:6" ht="11.25" customHeight="1" hidden="1">
      <c r="A56" s="197"/>
      <c r="B56" s="202"/>
      <c r="C56" s="194"/>
      <c r="D56" s="194"/>
      <c r="E56" s="194"/>
      <c r="F56" s="194"/>
    </row>
    <row r="57" spans="1:6" ht="11.25" customHeight="1" hidden="1">
      <c r="A57" s="197"/>
      <c r="B57" s="202"/>
      <c r="C57" s="194"/>
      <c r="D57" s="194"/>
      <c r="E57" s="194"/>
      <c r="F57" s="194"/>
    </row>
    <row r="58" spans="1:6" ht="11.25" customHeight="1" hidden="1">
      <c r="A58" s="197"/>
      <c r="B58" s="202"/>
      <c r="C58" s="194"/>
      <c r="D58" s="194"/>
      <c r="E58" s="194"/>
      <c r="F58" s="194"/>
    </row>
    <row r="59" spans="1:6" ht="11.25" customHeight="1" hidden="1">
      <c r="A59" s="197"/>
      <c r="B59" s="202"/>
      <c r="C59" s="194"/>
      <c r="D59" s="194"/>
      <c r="E59" s="194"/>
      <c r="F59" s="194"/>
    </row>
    <row r="60" spans="1:6" ht="11.25" customHeight="1" hidden="1">
      <c r="A60" s="197"/>
      <c r="B60" s="202"/>
      <c r="C60" s="194"/>
      <c r="D60" s="194"/>
      <c r="E60" s="194"/>
      <c r="F60" s="194"/>
    </row>
    <row r="61" spans="1:6" s="191" customFormat="1" ht="21.75" customHeight="1">
      <c r="A61" s="204" t="s">
        <v>46</v>
      </c>
      <c r="B61" s="189" t="str">
        <f>CONCATENATE("Até o  ",B12)</f>
        <v>Até o  Bimestre</v>
      </c>
      <c r="C61" s="190"/>
      <c r="D61" s="190"/>
      <c r="E61" s="190"/>
      <c r="F61" s="190"/>
    </row>
    <row r="62" spans="1:6" s="185" customFormat="1" ht="11.25" customHeight="1">
      <c r="A62" s="209" t="s">
        <v>849</v>
      </c>
      <c r="B62" s="196"/>
      <c r="C62" s="210"/>
      <c r="D62" s="210"/>
      <c r="E62" s="210"/>
      <c r="F62" s="210"/>
    </row>
    <row r="63" spans="1:6" ht="11.25" customHeight="1">
      <c r="A63" s="209" t="s">
        <v>850</v>
      </c>
      <c r="B63" s="196">
        <f>'RREO-Anexo 04'!D53</f>
        <v>57444599.22</v>
      </c>
      <c r="C63" s="194"/>
      <c r="D63" s="194"/>
      <c r="E63" s="194"/>
      <c r="F63" s="194"/>
    </row>
    <row r="64" spans="1:6" ht="11.25" customHeight="1">
      <c r="A64" s="209" t="s">
        <v>926</v>
      </c>
      <c r="B64" s="196">
        <f>'RREO-Anexo 04'!D74</f>
        <v>25022069.37</v>
      </c>
      <c r="C64" s="194"/>
      <c r="D64" s="194"/>
      <c r="E64" s="194"/>
      <c r="F64" s="194"/>
    </row>
    <row r="65" spans="1:6" ht="11.25" customHeight="1">
      <c r="A65" s="209" t="s">
        <v>851</v>
      </c>
      <c r="B65" s="196">
        <f>'RREO-Anexo 04'!F74</f>
        <v>24578358.03</v>
      </c>
      <c r="C65" s="194"/>
      <c r="D65" s="194"/>
      <c r="E65" s="194"/>
      <c r="F65" s="194"/>
    </row>
    <row r="66" spans="1:6" ht="11.25" customHeight="1">
      <c r="A66" s="209" t="s">
        <v>852</v>
      </c>
      <c r="B66" s="196">
        <f>'RREO-Anexo 04'!D75</f>
        <v>32422529.849999998</v>
      </c>
      <c r="C66" s="194"/>
      <c r="D66" s="194"/>
      <c r="E66" s="194"/>
      <c r="F66" s="194"/>
    </row>
    <row r="67" spans="1:6" ht="11.25" customHeight="1">
      <c r="A67" s="209" t="s">
        <v>853</v>
      </c>
      <c r="B67" s="196"/>
      <c r="C67" s="194"/>
      <c r="D67" s="194"/>
      <c r="E67" s="194"/>
      <c r="F67" s="194"/>
    </row>
    <row r="68" spans="1:6" ht="11.25" customHeight="1">
      <c r="A68" s="209" t="s">
        <v>850</v>
      </c>
      <c r="B68" s="196">
        <f>'RREO-Anexo 04'!D158</f>
        <v>0</v>
      </c>
      <c r="C68" s="194"/>
      <c r="D68" s="194"/>
      <c r="E68" s="194"/>
      <c r="F68" s="194"/>
    </row>
    <row r="69" spans="1:6" ht="11.25" customHeight="1">
      <c r="A69" s="209" t="s">
        <v>926</v>
      </c>
      <c r="B69" s="196">
        <f>'RREO-Anexo 04'!D179</f>
        <v>0</v>
      </c>
      <c r="C69" s="194"/>
      <c r="D69" s="194"/>
      <c r="E69" s="194"/>
      <c r="F69" s="194"/>
    </row>
    <row r="70" spans="1:6" ht="11.25" customHeight="1">
      <c r="A70" s="209" t="s">
        <v>851</v>
      </c>
      <c r="B70" s="196">
        <f>'RREO-Anexo 04'!F179</f>
        <v>0</v>
      </c>
      <c r="C70" s="194"/>
      <c r="D70" s="194"/>
      <c r="E70" s="194"/>
      <c r="F70" s="194"/>
    </row>
    <row r="71" spans="1:6" ht="11.25" customHeight="1">
      <c r="A71" s="211" t="s">
        <v>852</v>
      </c>
      <c r="B71" s="199">
        <f>'RREO-Anexo 04'!D180</f>
        <v>0</v>
      </c>
      <c r="C71" s="194"/>
      <c r="D71" s="194"/>
      <c r="E71" s="194"/>
      <c r="F71" s="194"/>
    </row>
    <row r="72" spans="1:6" ht="11.25" customHeight="1">
      <c r="A72" s="197"/>
      <c r="B72" s="212"/>
      <c r="C72" s="194"/>
      <c r="D72" s="194"/>
      <c r="E72" s="194"/>
      <c r="F72" s="194"/>
    </row>
    <row r="73" spans="1:6" ht="11.25" customHeight="1" hidden="1">
      <c r="A73" s="197"/>
      <c r="B73" s="212"/>
      <c r="C73" s="194"/>
      <c r="D73" s="194"/>
      <c r="E73" s="194"/>
      <c r="F73" s="194"/>
    </row>
    <row r="74" spans="1:6" ht="11.25" customHeight="1" hidden="1">
      <c r="A74" s="197"/>
      <c r="B74" s="212"/>
      <c r="C74" s="212"/>
      <c r="D74" s="212"/>
      <c r="E74" s="212"/>
      <c r="F74" s="194"/>
    </row>
    <row r="75" spans="2:6" ht="11.25" customHeight="1" hidden="1">
      <c r="B75" s="194"/>
      <c r="C75" s="213"/>
      <c r="D75" s="194"/>
      <c r="E75" s="214"/>
      <c r="F75" s="194"/>
    </row>
    <row r="76" spans="1:6" ht="11.25" customHeight="1">
      <c r="A76" s="215"/>
      <c r="B76" s="216" t="s">
        <v>230</v>
      </c>
      <c r="C76" s="216" t="s">
        <v>231</v>
      </c>
      <c r="D76" s="216" t="s">
        <v>232</v>
      </c>
      <c r="E76" s="194"/>
      <c r="F76" s="194"/>
    </row>
    <row r="77" spans="1:6" ht="11.25" customHeight="1">
      <c r="A77" s="217" t="s">
        <v>233</v>
      </c>
      <c r="B77" s="218" t="s">
        <v>234</v>
      </c>
      <c r="C77" s="218" t="str">
        <f>CONCATENATE("Até o  ",B12)</f>
        <v>Até o  Bimestre</v>
      </c>
      <c r="D77" s="218"/>
      <c r="E77" s="194"/>
      <c r="F77" s="194"/>
    </row>
    <row r="78" spans="1:6" ht="11.25" customHeight="1">
      <c r="A78" s="219"/>
      <c r="B78" s="218" t="s">
        <v>235</v>
      </c>
      <c r="C78" s="218"/>
      <c r="D78" s="218"/>
      <c r="E78" s="194"/>
      <c r="F78" s="194"/>
    </row>
    <row r="79" spans="1:6" ht="11.25" customHeight="1">
      <c r="A79" s="219"/>
      <c r="B79" s="220" t="s">
        <v>79</v>
      </c>
      <c r="C79" s="220" t="s">
        <v>80</v>
      </c>
      <c r="D79" s="218" t="s">
        <v>81</v>
      </c>
      <c r="E79" s="194"/>
      <c r="F79" s="194"/>
    </row>
    <row r="80" spans="1:6" ht="11.25" customHeight="1">
      <c r="A80" s="221" t="s">
        <v>928</v>
      </c>
      <c r="B80" s="162">
        <f>'RREO-Anexo 06'!B103</f>
        <v>20652000</v>
      </c>
      <c r="C80" s="145">
        <f>'RREO-Anexo 06'!B94</f>
        <v>92971048.54000002</v>
      </c>
      <c r="D80" s="148">
        <f>IF(B80&gt;0,C80/B80,0)</f>
        <v>4.501793944412165</v>
      </c>
      <c r="E80" s="194"/>
      <c r="F80" s="194"/>
    </row>
    <row r="81" spans="1:6" ht="11.25" customHeight="1">
      <c r="A81" s="206" t="s">
        <v>927</v>
      </c>
      <c r="B81" s="163">
        <f>'RREO-Anexo 06'!B131</f>
        <v>0</v>
      </c>
      <c r="C81" s="151">
        <f>'RREO-Anexo 06'!B122</f>
        <v>140890639.48000002</v>
      </c>
      <c r="D81" s="152">
        <f>IF(B81&gt;0,C81/B81,0)</f>
        <v>0</v>
      </c>
      <c r="E81" s="194"/>
      <c r="F81" s="194"/>
    </row>
    <row r="82" spans="1:6" ht="11.25" customHeight="1">
      <c r="A82" s="214"/>
      <c r="B82" s="214"/>
      <c r="C82" s="214"/>
      <c r="D82" s="214"/>
      <c r="E82" s="214"/>
      <c r="F82" s="194"/>
    </row>
    <row r="83" spans="1:6" ht="11.25" customHeight="1" hidden="1">
      <c r="A83" s="197"/>
      <c r="B83" s="214"/>
      <c r="C83" s="214"/>
      <c r="D83" s="214"/>
      <c r="E83" s="214"/>
      <c r="F83" s="194"/>
    </row>
    <row r="84" spans="1:6" ht="11.25" customHeight="1" hidden="1">
      <c r="A84" s="197"/>
      <c r="B84" s="214"/>
      <c r="C84" s="214"/>
      <c r="D84" s="214"/>
      <c r="E84" s="214"/>
      <c r="F84" s="194"/>
    </row>
    <row r="85" spans="1:6" ht="11.25" customHeight="1" hidden="1">
      <c r="A85" s="197"/>
      <c r="B85" s="214"/>
      <c r="C85" s="214"/>
      <c r="D85" s="214"/>
      <c r="E85" s="214"/>
      <c r="F85" s="194"/>
    </row>
    <row r="86" spans="1:6" ht="11.25" customHeight="1" hidden="1">
      <c r="A86" s="197"/>
      <c r="B86" s="214"/>
      <c r="C86" s="214"/>
      <c r="D86" s="214"/>
      <c r="E86" s="214"/>
      <c r="F86" s="194"/>
    </row>
    <row r="87" spans="2:6" ht="11.25" customHeight="1" hidden="1">
      <c r="B87" s="194"/>
      <c r="C87" s="213"/>
      <c r="D87" s="194"/>
      <c r="E87" s="194"/>
      <c r="F87" s="194"/>
    </row>
    <row r="88" spans="2:6" ht="11.25" customHeight="1">
      <c r="B88" s="194"/>
      <c r="C88" s="213"/>
      <c r="D88" s="194"/>
      <c r="E88" s="194"/>
      <c r="F88" s="194"/>
    </row>
    <row r="89" spans="1:6" ht="11.25" customHeight="1">
      <c r="A89" s="1004" t="s">
        <v>47</v>
      </c>
      <c r="B89" s="222" t="s">
        <v>236</v>
      </c>
      <c r="C89" s="216" t="s">
        <v>237</v>
      </c>
      <c r="D89" s="223" t="s">
        <v>594</v>
      </c>
      <c r="E89" s="216" t="s">
        <v>238</v>
      </c>
      <c r="F89" s="194"/>
    </row>
    <row r="90" spans="1:6" ht="11.25" customHeight="1">
      <c r="A90" s="1005"/>
      <c r="B90" s="224"/>
      <c r="C90" s="220" t="str">
        <f>CONCATENATE("Até o  ",B12)</f>
        <v>Até o  Bimestre</v>
      </c>
      <c r="D90" s="225" t="str">
        <f>CONCATENATE("Até o  ",B12)</f>
        <v>Até o  Bimestre</v>
      </c>
      <c r="E90" s="220" t="s">
        <v>6</v>
      </c>
      <c r="F90" s="194"/>
    </row>
    <row r="91" spans="1:6" ht="11.25" customHeight="1">
      <c r="A91" s="195" t="s">
        <v>239</v>
      </c>
      <c r="B91" s="162"/>
      <c r="C91" s="162"/>
      <c r="D91" s="162"/>
      <c r="E91" s="162"/>
      <c r="F91" s="194"/>
    </row>
    <row r="92" spans="1:6" ht="11.25" customHeight="1">
      <c r="A92" s="195" t="s">
        <v>240</v>
      </c>
      <c r="B92" s="162">
        <f>'RREO-Anexo 07'!B23+'RREO-Anexo 07'!C23+'RREO-Anexo 07'!B40+'RREO-Anexo 07'!C40</f>
        <v>28892892.96</v>
      </c>
      <c r="C92" s="162">
        <f>'RREO-Anexo 07'!E23+'RREO-Anexo 07'!E40</f>
        <v>0</v>
      </c>
      <c r="D92" s="162">
        <f>'RREO-Anexo 07'!D23+'RREO-Anexo 07'!D40</f>
        <v>28748063.689999998</v>
      </c>
      <c r="E92" s="162">
        <f>'RREO-Anexo 07'!F23+'RREO-Anexo 07'!F40</f>
        <v>144829.26999999955</v>
      </c>
      <c r="F92" s="194"/>
    </row>
    <row r="93" spans="1:6" ht="11.25" customHeight="1">
      <c r="A93" s="195" t="s">
        <v>241</v>
      </c>
      <c r="B93" s="162">
        <f>'RREO-Anexo 07'!B24+'RREO-Anexo 07'!C24+'RREO-Anexo 07'!B41+'RREO-Anexo 07'!C41</f>
        <v>9256.09</v>
      </c>
      <c r="C93" s="162">
        <f>'RREO-Anexo 07'!E24+'RREO-Anexo 07'!E41</f>
        <v>1837</v>
      </c>
      <c r="D93" s="162">
        <f>'RREO-Anexo 07'!D24+'RREO-Anexo 07'!D41</f>
        <v>7419.09</v>
      </c>
      <c r="E93" s="162">
        <f>'RREO-Anexo 07'!F24+'RREO-Anexo 07'!F41</f>
        <v>0</v>
      </c>
      <c r="F93" s="194"/>
    </row>
    <row r="94" spans="1:6" ht="11.25" customHeight="1">
      <c r="A94" s="195" t="s">
        <v>242</v>
      </c>
      <c r="B94" s="162"/>
      <c r="C94" s="162"/>
      <c r="D94" s="162"/>
      <c r="E94" s="162"/>
      <c r="F94" s="194"/>
    </row>
    <row r="95" spans="1:6" ht="11.25" customHeight="1">
      <c r="A95" s="195" t="s">
        <v>243</v>
      </c>
      <c r="B95" s="162"/>
      <c r="C95" s="162"/>
      <c r="D95" s="162"/>
      <c r="E95" s="162"/>
      <c r="F95" s="194"/>
    </row>
    <row r="96" spans="1:6" ht="11.25" customHeight="1">
      <c r="A96" s="195" t="s">
        <v>677</v>
      </c>
      <c r="B96" s="162"/>
      <c r="C96" s="162"/>
      <c r="D96" s="162"/>
      <c r="E96" s="162"/>
      <c r="F96" s="194"/>
    </row>
    <row r="97" spans="1:6" ht="11.25" customHeight="1">
      <c r="A97" s="195" t="s">
        <v>244</v>
      </c>
      <c r="B97" s="162"/>
      <c r="C97" s="162"/>
      <c r="D97" s="162"/>
      <c r="E97" s="162"/>
      <c r="F97" s="194"/>
    </row>
    <row r="98" spans="1:6" ht="11.25" customHeight="1">
      <c r="A98" s="195" t="s">
        <v>240</v>
      </c>
      <c r="B98" s="162">
        <f>'RREO-Anexo 07'!G23+'RREO-Anexo 07'!H23+'RREO-Anexo 07'!G40+'RREO-Anexo 07'!H40</f>
        <v>69879049.39</v>
      </c>
      <c r="C98" s="162">
        <f>'RREO-Anexo 07'!K23+'RREO-Anexo 07'!K40</f>
        <v>5646727.52</v>
      </c>
      <c r="D98" s="162">
        <f>'RREO-Anexo 07'!J23+'RREO-Anexo 07'!J40</f>
        <v>49601557.72</v>
      </c>
      <c r="E98" s="162">
        <f>'RREO-Anexo 07'!L23+'RREO-Anexo 07'!L40</f>
        <v>14630764.149999995</v>
      </c>
      <c r="F98" s="194"/>
    </row>
    <row r="99" spans="1:6" ht="11.25" customHeight="1">
      <c r="A99" s="195" t="s">
        <v>241</v>
      </c>
      <c r="B99" s="162">
        <f>'RREO-Anexo 07'!G24+'RREO-Anexo 07'!H24+'RREO-Anexo 07'!G41+'RREO-Anexo 07'!H41</f>
        <v>1674814.5399999998</v>
      </c>
      <c r="C99" s="162">
        <f>'RREO-Anexo 07'!K24+'RREO-Anexo 07'!K41</f>
        <v>3926.55</v>
      </c>
      <c r="D99" s="162">
        <f>'RREO-Anexo 07'!J24+'RREO-Anexo 07'!J41</f>
        <v>685210.62</v>
      </c>
      <c r="E99" s="162">
        <f>'RREO-Anexo 07'!L24+'RREO-Anexo 07'!L41</f>
        <v>985677.3699999998</v>
      </c>
      <c r="F99" s="194"/>
    </row>
    <row r="100" spans="1:6" ht="11.25" customHeight="1">
      <c r="A100" s="195" t="s">
        <v>242</v>
      </c>
      <c r="B100" s="162"/>
      <c r="C100" s="162"/>
      <c r="D100" s="162"/>
      <c r="E100" s="162"/>
      <c r="F100" s="194"/>
    </row>
    <row r="101" spans="1:6" ht="11.25" customHeight="1">
      <c r="A101" s="195" t="s">
        <v>243</v>
      </c>
      <c r="B101" s="162"/>
      <c r="C101" s="162"/>
      <c r="D101" s="162"/>
      <c r="E101" s="162"/>
      <c r="F101" s="194"/>
    </row>
    <row r="102" spans="1:6" ht="11.25" customHeight="1">
      <c r="A102" s="195" t="s">
        <v>677</v>
      </c>
      <c r="B102" s="162"/>
      <c r="C102" s="162"/>
      <c r="D102" s="162"/>
      <c r="E102" s="162"/>
      <c r="F102" s="194"/>
    </row>
    <row r="103" spans="1:6" ht="11.25" customHeight="1">
      <c r="A103" s="226" t="s">
        <v>115</v>
      </c>
      <c r="B103" s="150">
        <f>B91+B97</f>
        <v>0</v>
      </c>
      <c r="C103" s="150">
        <f>C91+C97</f>
        <v>0</v>
      </c>
      <c r="D103" s="150">
        <f>D91+D97</f>
        <v>0</v>
      </c>
      <c r="E103" s="150">
        <f>E91+E97</f>
        <v>0</v>
      </c>
      <c r="F103" s="194"/>
    </row>
    <row r="104" spans="1:6" ht="12" customHeight="1">
      <c r="A104" s="197"/>
      <c r="B104" s="214"/>
      <c r="C104" s="214"/>
      <c r="D104" s="214"/>
      <c r="E104" s="214"/>
      <c r="F104" s="214"/>
    </row>
    <row r="105" spans="1:6" ht="11.25" customHeight="1" hidden="1">
      <c r="A105" s="197"/>
      <c r="B105" s="214"/>
      <c r="C105" s="214"/>
      <c r="D105" s="214"/>
      <c r="E105" s="214"/>
      <c r="F105" s="214"/>
    </row>
    <row r="106" spans="1:6" ht="11.25" customHeight="1" hidden="1">
      <c r="A106" s="197"/>
      <c r="B106" s="214"/>
      <c r="C106" s="214"/>
      <c r="D106" s="214"/>
      <c r="E106" s="214"/>
      <c r="F106" s="214"/>
    </row>
    <row r="107" spans="1:6" ht="11.25" customHeight="1" hidden="1">
      <c r="A107" s="197"/>
      <c r="B107" s="214"/>
      <c r="C107" s="214"/>
      <c r="D107" s="214"/>
      <c r="E107" s="214"/>
      <c r="F107" s="214"/>
    </row>
    <row r="108" spans="1:6" ht="11.25" customHeight="1" hidden="1">
      <c r="A108" s="197"/>
      <c r="B108" s="214"/>
      <c r="C108" s="214"/>
      <c r="D108" s="214"/>
      <c r="E108" s="214"/>
      <c r="F108" s="214"/>
    </row>
    <row r="109" spans="1:6" ht="11.25" customHeight="1" hidden="1">
      <c r="A109" s="197"/>
      <c r="B109" s="214"/>
      <c r="C109" s="214"/>
      <c r="D109" s="214"/>
      <c r="E109" s="214"/>
      <c r="F109" s="214"/>
    </row>
    <row r="110" spans="1:6" ht="11.25" customHeight="1">
      <c r="A110" s="227"/>
      <c r="B110" s="223" t="s">
        <v>245</v>
      </c>
      <c r="C110" s="228" t="s">
        <v>246</v>
      </c>
      <c r="D110" s="229"/>
      <c r="E110" s="194"/>
      <c r="F110" s="194"/>
    </row>
    <row r="111" spans="1:6" ht="11.25" customHeight="1">
      <c r="A111" s="230" t="s">
        <v>49</v>
      </c>
      <c r="B111" s="231" t="s">
        <v>78</v>
      </c>
      <c r="C111" s="223" t="s">
        <v>247</v>
      </c>
      <c r="D111" s="216" t="s">
        <v>818</v>
      </c>
      <c r="E111" s="194"/>
      <c r="F111" s="194"/>
    </row>
    <row r="112" spans="1:6" ht="11.25" customHeight="1">
      <c r="A112" s="232"/>
      <c r="B112" s="220"/>
      <c r="C112" s="225" t="s">
        <v>292</v>
      </c>
      <c r="D112" s="220" t="str">
        <f>CONCATENATE("Até o  ",B12)</f>
        <v>Até o  Bimestre</v>
      </c>
      <c r="E112" s="194"/>
      <c r="F112" s="194"/>
    </row>
    <row r="113" spans="1:6" ht="11.25" customHeight="1">
      <c r="A113" s="233" t="s">
        <v>48</v>
      </c>
      <c r="B113" s="147">
        <f>'RREO-Anexo 08'!B140</f>
        <v>58689120.64</v>
      </c>
      <c r="C113" s="145">
        <v>25</v>
      </c>
      <c r="D113" s="148">
        <f>'RREO-Anexo 08'!B142</f>
        <v>21.705828936265466</v>
      </c>
      <c r="E113" s="194"/>
      <c r="F113" s="194"/>
    </row>
    <row r="114" spans="1:6" ht="11.25" customHeight="1">
      <c r="A114" s="233" t="s">
        <v>50</v>
      </c>
      <c r="B114" s="147"/>
      <c r="C114" s="145"/>
      <c r="D114" s="147"/>
      <c r="E114" s="194"/>
      <c r="F114" s="194"/>
    </row>
    <row r="115" spans="1:6" ht="11.25" customHeight="1">
      <c r="A115" s="233" t="s">
        <v>51</v>
      </c>
      <c r="B115" s="147">
        <f>'RREO-Anexo 08'!F85+'RREO-Anexo 08'!H85-'RREO-Anexo 08'!B95-'RREO-Anexo 08'!B98</f>
        <v>29008569.6</v>
      </c>
      <c r="C115" s="145">
        <v>60</v>
      </c>
      <c r="D115" s="147">
        <f>'RREO-Anexo 08'!B104</f>
        <v>65.80173022043468</v>
      </c>
      <c r="E115" s="194"/>
      <c r="F115" s="194"/>
    </row>
    <row r="116" spans="1:6" ht="11.25" customHeight="1">
      <c r="A116" s="206" t="s">
        <v>52</v>
      </c>
      <c r="B116" s="152"/>
      <c r="C116" s="151"/>
      <c r="D116" s="152"/>
      <c r="E116" s="194"/>
      <c r="F116" s="194"/>
    </row>
    <row r="117" spans="1:6" ht="11.25" customHeight="1">
      <c r="A117" s="197"/>
      <c r="B117" s="214"/>
      <c r="C117" s="234"/>
      <c r="D117" s="235"/>
      <c r="E117" s="235"/>
      <c r="F117" s="194"/>
    </row>
    <row r="118" spans="1:6" ht="11.25" customHeight="1" hidden="1">
      <c r="A118" s="197"/>
      <c r="B118" s="214"/>
      <c r="C118" s="234"/>
      <c r="D118" s="235"/>
      <c r="E118" s="235"/>
      <c r="F118" s="194"/>
    </row>
    <row r="119" spans="1:6" ht="11.25" customHeight="1" hidden="1">
      <c r="A119" s="197"/>
      <c r="B119" s="214"/>
      <c r="C119" s="234"/>
      <c r="D119" s="235"/>
      <c r="E119" s="235"/>
      <c r="F119" s="194"/>
    </row>
    <row r="120" spans="1:6" ht="11.25" customHeight="1" hidden="1">
      <c r="A120" s="197"/>
      <c r="B120" s="214"/>
      <c r="C120" s="234"/>
      <c r="D120" s="235"/>
      <c r="E120" s="235"/>
      <c r="F120" s="194"/>
    </row>
    <row r="121" spans="1:6" ht="11.25" customHeight="1" hidden="1">
      <c r="A121" s="197"/>
      <c r="B121" s="214"/>
      <c r="C121" s="234"/>
      <c r="D121" s="235"/>
      <c r="E121" s="235"/>
      <c r="F121" s="194"/>
    </row>
    <row r="122" spans="1:6" ht="11.25" customHeight="1" hidden="1">
      <c r="A122" s="197"/>
      <c r="B122" s="214"/>
      <c r="C122" s="234"/>
      <c r="D122" s="235"/>
      <c r="E122" s="235"/>
      <c r="F122" s="194"/>
    </row>
    <row r="123" spans="1:6" ht="11.25" customHeight="1" hidden="1">
      <c r="A123" s="197"/>
      <c r="B123" s="214"/>
      <c r="C123" s="234"/>
      <c r="D123" s="235"/>
      <c r="E123" s="235"/>
      <c r="F123" s="194"/>
    </row>
    <row r="124" spans="1:6" s="191" customFormat="1" ht="21.75" customHeight="1">
      <c r="A124" s="236" t="s">
        <v>293</v>
      </c>
      <c r="B124" s="237" t="s">
        <v>294</v>
      </c>
      <c r="C124" s="238" t="s">
        <v>325</v>
      </c>
      <c r="D124" s="190"/>
      <c r="E124" s="190"/>
      <c r="F124" s="190"/>
    </row>
    <row r="125" spans="1:6" ht="11.25" customHeight="1">
      <c r="A125" s="221" t="s">
        <v>296</v>
      </c>
      <c r="B125" s="146">
        <f>'RREO-Anexo 09'!C19</f>
        <v>0</v>
      </c>
      <c r="C125" s="148">
        <f>'RREO-Anexo 09'!D19</f>
        <v>0</v>
      </c>
      <c r="D125" s="194"/>
      <c r="E125" s="194"/>
      <c r="F125" s="194"/>
    </row>
    <row r="126" spans="1:6" ht="11.25" customHeight="1">
      <c r="A126" s="206" t="s">
        <v>297</v>
      </c>
      <c r="B126" s="151">
        <f>'RREO-Anexo 09'!C30</f>
        <v>0</v>
      </c>
      <c r="C126" s="152">
        <f>'RREO-Anexo 09'!D30</f>
        <v>0</v>
      </c>
      <c r="D126" s="194"/>
      <c r="E126" s="194"/>
      <c r="F126" s="194"/>
    </row>
    <row r="127" spans="1:7" ht="11.25" customHeight="1">
      <c r="A127" s="197"/>
      <c r="B127" s="214"/>
      <c r="C127" s="214"/>
      <c r="D127" s="214"/>
      <c r="E127" s="214"/>
      <c r="F127" s="214"/>
      <c r="G127" s="197"/>
    </row>
    <row r="128" spans="1:7" ht="11.25" customHeight="1" hidden="1">
      <c r="A128" s="197"/>
      <c r="B128" s="214"/>
      <c r="C128" s="214"/>
      <c r="D128" s="214"/>
      <c r="E128" s="214"/>
      <c r="F128" s="214"/>
      <c r="G128" s="197"/>
    </row>
    <row r="129" spans="1:7" ht="11.25" customHeight="1" hidden="1">
      <c r="A129" s="197"/>
      <c r="B129" s="214"/>
      <c r="C129" s="214"/>
      <c r="D129" s="214"/>
      <c r="E129" s="214"/>
      <c r="F129" s="214"/>
      <c r="G129" s="197"/>
    </row>
    <row r="130" spans="1:7" ht="11.25" customHeight="1" hidden="1">
      <c r="A130" s="197"/>
      <c r="B130" s="214"/>
      <c r="C130" s="214"/>
      <c r="D130" s="214"/>
      <c r="E130" s="214"/>
      <c r="F130" s="214"/>
      <c r="G130" s="197"/>
    </row>
    <row r="131" spans="1:7" ht="11.25" customHeight="1" hidden="1">
      <c r="A131" s="197"/>
      <c r="B131" s="214"/>
      <c r="C131" s="214"/>
      <c r="D131" s="214"/>
      <c r="E131" s="214"/>
      <c r="F131" s="214"/>
      <c r="G131" s="197"/>
    </row>
    <row r="132" spans="1:7" ht="11.25" customHeight="1" hidden="1">
      <c r="A132" s="197"/>
      <c r="B132" s="214"/>
      <c r="C132" s="214"/>
      <c r="D132" s="214"/>
      <c r="E132" s="214"/>
      <c r="F132" s="214"/>
      <c r="G132" s="197"/>
    </row>
    <row r="133" spans="1:7" ht="11.25" customHeight="1" hidden="1">
      <c r="A133" s="197"/>
      <c r="B133" s="214"/>
      <c r="C133" s="214"/>
      <c r="D133" s="214"/>
      <c r="E133" s="214"/>
      <c r="F133" s="214"/>
      <c r="G133" s="197"/>
    </row>
    <row r="134" spans="1:6" s="191" customFormat="1" ht="21.75" customHeight="1">
      <c r="A134" s="204" t="s">
        <v>298</v>
      </c>
      <c r="B134" s="238" t="s">
        <v>299</v>
      </c>
      <c r="C134" s="239" t="s">
        <v>300</v>
      </c>
      <c r="D134" s="238" t="s">
        <v>301</v>
      </c>
      <c r="E134" s="238" t="s">
        <v>302</v>
      </c>
      <c r="F134" s="190"/>
    </row>
    <row r="135" spans="1:6" ht="11.25" customHeight="1">
      <c r="A135" s="233" t="s">
        <v>932</v>
      </c>
      <c r="B135" s="148"/>
      <c r="C135" s="148"/>
      <c r="D135" s="148"/>
      <c r="E135" s="148"/>
      <c r="F135" s="194"/>
    </row>
    <row r="136" spans="1:6" ht="11.25" customHeight="1">
      <c r="A136" s="233" t="s">
        <v>930</v>
      </c>
      <c r="B136" s="147">
        <f>'RREO-Anexo 10'!B21</f>
        <v>0</v>
      </c>
      <c r="C136" s="147">
        <f>'RREO-Anexo 10'!B30</f>
        <v>0</v>
      </c>
      <c r="D136" s="147">
        <f>'RREO-Anexo 10'!B40</f>
        <v>0</v>
      </c>
      <c r="E136" s="147">
        <f>'RREO-Anexo 10'!B55</f>
        <v>0</v>
      </c>
      <c r="F136" s="194"/>
    </row>
    <row r="137" spans="1:6" ht="11.25" customHeight="1">
      <c r="A137" s="233" t="s">
        <v>931</v>
      </c>
      <c r="B137" s="147">
        <f>'RREO-Anexo 10'!C21</f>
        <v>0</v>
      </c>
      <c r="C137" s="147">
        <f>'RREO-Anexo 10'!C30</f>
        <v>0</v>
      </c>
      <c r="D137" s="147">
        <f>'RREO-Anexo 10'!C40</f>
        <v>0</v>
      </c>
      <c r="E137" s="147">
        <f>'RREO-Anexo 10'!C55</f>
        <v>0</v>
      </c>
      <c r="F137" s="194"/>
    </row>
    <row r="138" spans="1:6" ht="11.25" customHeight="1">
      <c r="A138" s="233" t="s">
        <v>852</v>
      </c>
      <c r="B138" s="147">
        <f>'RREO-Anexo 10'!D21</f>
        <v>0</v>
      </c>
      <c r="C138" s="147">
        <f>'RREO-Anexo 10'!D30</f>
        <v>0</v>
      </c>
      <c r="D138" s="147">
        <f>'RREO-Anexo 10'!D40</f>
        <v>0</v>
      </c>
      <c r="E138" s="147">
        <f>'RREO-Anexo 10'!D55</f>
        <v>0</v>
      </c>
      <c r="F138" s="194"/>
    </row>
    <row r="139" spans="1:6" ht="11.25" customHeight="1">
      <c r="A139" s="233" t="s">
        <v>933</v>
      </c>
      <c r="B139" s="147"/>
      <c r="C139" s="147"/>
      <c r="D139" s="147"/>
      <c r="E139" s="147"/>
      <c r="F139" s="194"/>
    </row>
    <row r="140" spans="1:6" ht="11.25" customHeight="1">
      <c r="A140" s="233" t="s">
        <v>930</v>
      </c>
      <c r="B140" s="147">
        <f>'RREO-Anexo 10'!B112</f>
        <v>0</v>
      </c>
      <c r="C140" s="147">
        <f>'RREO-Anexo 10'!B121</f>
        <v>0</v>
      </c>
      <c r="D140" s="147">
        <f>'RREO-Anexo 10'!B131</f>
        <v>0</v>
      </c>
      <c r="E140" s="147">
        <f>'RREO-Anexo 10'!B146</f>
        <v>0</v>
      </c>
      <c r="F140" s="194"/>
    </row>
    <row r="141" spans="1:6" ht="11.25" customHeight="1">
      <c r="A141" s="233" t="s">
        <v>931</v>
      </c>
      <c r="B141" s="147">
        <f>'RREO-Anexo 10'!C112</f>
        <v>0</v>
      </c>
      <c r="C141" s="147">
        <f>'RREO-Anexo 10'!C121</f>
        <v>0</v>
      </c>
      <c r="D141" s="147">
        <f>'RREO-Anexo 10'!C131</f>
        <v>0</v>
      </c>
      <c r="E141" s="147">
        <f>'RREO-Anexo 10'!C146</f>
        <v>0</v>
      </c>
      <c r="F141" s="194"/>
    </row>
    <row r="142" spans="1:6" ht="11.25" customHeight="1">
      <c r="A142" s="206" t="s">
        <v>852</v>
      </c>
      <c r="B142" s="152">
        <f>'RREO-Anexo 10'!D112</f>
        <v>0</v>
      </c>
      <c r="C142" s="152">
        <f>'RREO-Anexo 10'!D121</f>
        <v>0</v>
      </c>
      <c r="D142" s="152">
        <f>'RREO-Anexo 10'!D131</f>
        <v>0</v>
      </c>
      <c r="E142" s="152">
        <f>'RREO-Anexo 10'!D146</f>
        <v>0</v>
      </c>
      <c r="F142" s="194"/>
    </row>
    <row r="143" spans="1:6" ht="11.25" customHeight="1">
      <c r="A143" s="197"/>
      <c r="B143" s="214"/>
      <c r="C143" s="235"/>
      <c r="D143" s="214"/>
      <c r="E143" s="214"/>
      <c r="F143" s="214"/>
    </row>
    <row r="144" spans="1:6" ht="11.25" customHeight="1" hidden="1">
      <c r="A144" s="197"/>
      <c r="B144" s="214"/>
      <c r="C144" s="235"/>
      <c r="D144" s="214"/>
      <c r="E144" s="214"/>
      <c r="F144" s="214"/>
    </row>
    <row r="145" spans="1:6" ht="11.25" customHeight="1" hidden="1">
      <c r="A145" s="197"/>
      <c r="B145" s="214"/>
      <c r="C145" s="235"/>
      <c r="D145" s="214"/>
      <c r="E145" s="214"/>
      <c r="F145" s="214"/>
    </row>
    <row r="146" spans="1:6" ht="11.25" customHeight="1" hidden="1">
      <c r="A146" s="197"/>
      <c r="B146" s="214"/>
      <c r="C146" s="235"/>
      <c r="D146" s="214"/>
      <c r="E146" s="214"/>
      <c r="F146" s="214"/>
    </row>
    <row r="147" spans="1:6" ht="11.25" customHeight="1" hidden="1">
      <c r="A147" s="197"/>
      <c r="B147" s="214"/>
      <c r="C147" s="235"/>
      <c r="D147" s="214"/>
      <c r="E147" s="214"/>
      <c r="F147" s="214"/>
    </row>
    <row r="148" spans="1:6" ht="11.25" customHeight="1" hidden="1">
      <c r="A148" s="197"/>
      <c r="B148" s="214"/>
      <c r="C148" s="235"/>
      <c r="D148" s="214"/>
      <c r="E148" s="214"/>
      <c r="F148" s="214"/>
    </row>
    <row r="149" spans="1:6" ht="11.25" customHeight="1" hidden="1">
      <c r="A149" s="197"/>
      <c r="B149" s="214"/>
      <c r="C149" s="235"/>
      <c r="D149" s="214"/>
      <c r="E149" s="214"/>
      <c r="F149" s="214"/>
    </row>
    <row r="150" spans="1:6" s="191" customFormat="1" ht="21" customHeight="1">
      <c r="A150" s="204" t="s">
        <v>303</v>
      </c>
      <c r="B150" s="237" t="s">
        <v>294</v>
      </c>
      <c r="C150" s="238" t="s">
        <v>295</v>
      </c>
      <c r="D150" s="190"/>
      <c r="E150" s="190"/>
      <c r="F150" s="190"/>
    </row>
    <row r="151" spans="1:6" ht="11.25" customHeight="1">
      <c r="A151" s="233" t="s">
        <v>304</v>
      </c>
      <c r="B151" s="146">
        <f>'RREO-Anexo 11'!C19</f>
        <v>0</v>
      </c>
      <c r="C151" s="148">
        <f>'RREO-Anexo 11'!D19</f>
        <v>0</v>
      </c>
      <c r="D151" s="194"/>
      <c r="E151" s="194"/>
      <c r="F151" s="194"/>
    </row>
    <row r="152" spans="1:6" ht="11.25" customHeight="1">
      <c r="A152" s="206" t="s">
        <v>305</v>
      </c>
      <c r="B152" s="151">
        <f>'RREO-Anexo 11'!C28</f>
        <v>0</v>
      </c>
      <c r="C152" s="152">
        <f>'RREO-Anexo 11'!H28</f>
        <v>0</v>
      </c>
      <c r="D152" s="194"/>
      <c r="E152" s="194"/>
      <c r="F152" s="194"/>
    </row>
    <row r="153" spans="1:6" ht="11.25" customHeight="1">
      <c r="A153" s="197"/>
      <c r="B153" s="214"/>
      <c r="C153" s="235"/>
      <c r="D153" s="214"/>
      <c r="E153" s="214"/>
      <c r="F153" s="214"/>
    </row>
    <row r="154" spans="1:6" ht="11.25" customHeight="1" hidden="1">
      <c r="A154" s="197"/>
      <c r="B154" s="214"/>
      <c r="C154" s="235"/>
      <c r="D154" s="214"/>
      <c r="E154" s="214"/>
      <c r="F154" s="214"/>
    </row>
    <row r="155" spans="1:6" ht="11.25" customHeight="1" hidden="1">
      <c r="A155" s="197"/>
      <c r="B155" s="214"/>
      <c r="C155" s="235"/>
      <c r="D155" s="214"/>
      <c r="E155" s="214"/>
      <c r="F155" s="214"/>
    </row>
    <row r="156" spans="1:6" ht="11.25" customHeight="1" hidden="1">
      <c r="A156" s="197"/>
      <c r="B156" s="214"/>
      <c r="C156" s="235"/>
      <c r="D156" s="214"/>
      <c r="E156" s="214"/>
      <c r="F156" s="214"/>
    </row>
    <row r="157" spans="1:6" ht="11.25" customHeight="1" hidden="1">
      <c r="A157" s="197"/>
      <c r="B157" s="214"/>
      <c r="C157" s="235"/>
      <c r="D157" s="214"/>
      <c r="E157" s="214"/>
      <c r="F157" s="214"/>
    </row>
    <row r="158" spans="1:6" ht="11.25" customHeight="1" hidden="1">
      <c r="A158" s="197"/>
      <c r="B158" s="214"/>
      <c r="C158" s="235"/>
      <c r="D158" s="214"/>
      <c r="E158" s="214"/>
      <c r="F158" s="194"/>
    </row>
    <row r="159" spans="1:6" ht="11.25" customHeight="1">
      <c r="A159" s="227"/>
      <c r="B159" s="240" t="s">
        <v>306</v>
      </c>
      <c r="C159" s="228" t="s">
        <v>307</v>
      </c>
      <c r="D159" s="241"/>
      <c r="E159" s="194"/>
      <c r="F159" s="194"/>
    </row>
    <row r="160" spans="1:6" ht="11.25" customHeight="1">
      <c r="A160" s="230" t="s">
        <v>207</v>
      </c>
      <c r="B160" s="242" t="s">
        <v>78</v>
      </c>
      <c r="C160" s="223" t="s">
        <v>247</v>
      </c>
      <c r="D160" s="216" t="s">
        <v>818</v>
      </c>
      <c r="E160" s="194"/>
      <c r="F160" s="194"/>
    </row>
    <row r="161" spans="1:6" ht="11.25" customHeight="1">
      <c r="A161" s="232"/>
      <c r="B161" s="243"/>
      <c r="C161" s="220" t="s">
        <v>292</v>
      </c>
      <c r="D161" s="220" t="str">
        <f>IF(_xlfn.IFERROR(FIND("TRIMESTRE",A12,1),0)&gt;0,"Até o Trimestre",IF(_xlfn.IFERROR(FIND("BIMESTRE",A12,1),0)&gt;0,"Até o Bimestre","Até o Mês"))</f>
        <v>Até o Mês</v>
      </c>
      <c r="E161" s="194"/>
      <c r="F161" s="194"/>
    </row>
    <row r="162" spans="1:6" ht="11.25" customHeight="1">
      <c r="A162" s="226" t="s">
        <v>475</v>
      </c>
      <c r="B162" s="244">
        <f>'RREO-Anexo 12'!B75</f>
        <v>81312948.38</v>
      </c>
      <c r="C162" s="150">
        <v>15</v>
      </c>
      <c r="D162" s="150">
        <f>'RREO-Anexo 12'!B80</f>
        <v>30.073119661580673</v>
      </c>
      <c r="E162" s="194"/>
      <c r="F162" s="194"/>
    </row>
    <row r="163" spans="1:6" ht="11.25" customHeight="1">
      <c r="A163" s="197"/>
      <c r="B163" s="214"/>
      <c r="C163" s="245"/>
      <c r="D163" s="214"/>
      <c r="E163" s="214"/>
      <c r="F163" s="214"/>
    </row>
    <row r="164" spans="1:6" ht="11.25" customHeight="1" hidden="1">
      <c r="A164" s="197"/>
      <c r="B164" s="214"/>
      <c r="C164" s="245"/>
      <c r="D164" s="214"/>
      <c r="E164" s="214"/>
      <c r="F164" s="214"/>
    </row>
    <row r="165" spans="1:6" ht="11.25" customHeight="1" hidden="1">
      <c r="A165" s="197"/>
      <c r="B165" s="214"/>
      <c r="C165" s="245"/>
      <c r="D165" s="214"/>
      <c r="E165" s="214"/>
      <c r="F165" s="214"/>
    </row>
    <row r="166" spans="1:6" ht="11.25" customHeight="1" hidden="1">
      <c r="A166" s="197"/>
      <c r="B166" s="214"/>
      <c r="C166" s="245"/>
      <c r="D166" s="214"/>
      <c r="E166" s="214"/>
      <c r="F166" s="214"/>
    </row>
    <row r="167" spans="1:6" ht="11.25" customHeight="1" hidden="1">
      <c r="A167" s="197"/>
      <c r="B167" s="214"/>
      <c r="C167" s="245"/>
      <c r="D167" s="214"/>
      <c r="E167" s="214"/>
      <c r="F167" s="214"/>
    </row>
    <row r="168" spans="1:6" ht="11.25" customHeight="1" hidden="1">
      <c r="A168" s="197"/>
      <c r="B168" s="214"/>
      <c r="C168" s="245"/>
      <c r="D168" s="214"/>
      <c r="E168" s="214"/>
      <c r="F168" s="214"/>
    </row>
    <row r="169" spans="1:6" ht="11.25" customHeight="1" hidden="1">
      <c r="A169" s="197"/>
      <c r="B169" s="214"/>
      <c r="C169" s="245"/>
      <c r="D169" s="214"/>
      <c r="E169" s="214"/>
      <c r="F169" s="214"/>
    </row>
    <row r="170" spans="1:6" s="191" customFormat="1" ht="21.75" customHeight="1">
      <c r="A170" s="246" t="s">
        <v>54</v>
      </c>
      <c r="B170" s="238" t="s">
        <v>53</v>
      </c>
      <c r="C170" s="190"/>
      <c r="D170" s="190"/>
      <c r="E170" s="190"/>
      <c r="F170" s="190"/>
    </row>
    <row r="171" spans="1:6" ht="11.25" customHeight="1">
      <c r="A171" s="247" t="s">
        <v>929</v>
      </c>
      <c r="B171" s="150">
        <f>'RREO-Anexo 13'!B73</f>
        <v>0</v>
      </c>
      <c r="C171" s="194"/>
      <c r="D171" s="194"/>
      <c r="E171" s="194"/>
      <c r="F171" s="194"/>
    </row>
    <row r="172" spans="1:21" ht="12.75">
      <c r="A172" s="1002" t="s">
        <v>1071</v>
      </c>
      <c r="B172" s="1003"/>
      <c r="C172" s="1003"/>
      <c r="D172" s="1003"/>
      <c r="E172" s="1003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</row>
    <row r="173" ht="11.25" customHeight="1">
      <c r="A173" s="197"/>
    </row>
    <row r="176" spans="1:6" ht="11.25" customHeight="1">
      <c r="A176" s="73" t="s">
        <v>1056</v>
      </c>
      <c r="B176" s="74" t="s">
        <v>1058</v>
      </c>
      <c r="C176" s="183"/>
      <c r="F176" s="74"/>
    </row>
    <row r="177" spans="1:6" ht="11.25" customHeight="1">
      <c r="A177" s="73" t="s">
        <v>1057</v>
      </c>
      <c r="B177" s="74" t="s">
        <v>1059</v>
      </c>
      <c r="C177" s="183"/>
      <c r="F177" s="74"/>
    </row>
    <row r="178" spans="1:6" ht="11.25" customHeight="1">
      <c r="A178" s="77"/>
      <c r="B178" s="77" t="s">
        <v>1072</v>
      </c>
      <c r="C178" s="183"/>
      <c r="F178" s="77"/>
    </row>
    <row r="180" ht="11.25" customHeight="1">
      <c r="B180" s="74"/>
    </row>
    <row r="181" spans="1:2" ht="11.25" customHeight="1">
      <c r="A181" s="74" t="s">
        <v>1060</v>
      </c>
      <c r="B181" s="74"/>
    </row>
    <row r="182" spans="1:2" ht="11.25" customHeight="1">
      <c r="A182" s="250" t="s">
        <v>1061</v>
      </c>
      <c r="B182" s="250"/>
    </row>
    <row r="183" spans="1:2" ht="11.25" customHeight="1">
      <c r="A183" s="77" t="s">
        <v>1073</v>
      </c>
      <c r="B183" s="77"/>
    </row>
  </sheetData>
  <sheetProtection/>
  <mergeCells count="5">
    <mergeCell ref="A13:E13"/>
    <mergeCell ref="A14:E14"/>
    <mergeCell ref="A11:E11"/>
    <mergeCell ref="A172:E172"/>
    <mergeCell ref="A89:A9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2"/>
  <sheetViews>
    <sheetView showGridLines="0" zoomScalePageLayoutView="0" workbookViewId="0" topLeftCell="A1">
      <selection activeCell="A1" sqref="A1"/>
    </sheetView>
  </sheetViews>
  <sheetFormatPr defaultColWidth="7.8515625" defaultRowHeight="11.25" customHeight="1"/>
  <cols>
    <col min="1" max="1" width="46.7109375" style="39" customWidth="1"/>
    <col min="2" max="3" width="14.28125" style="39" bestFit="1" customWidth="1"/>
    <col min="4" max="11" width="13.421875" style="39" customWidth="1"/>
    <col min="12" max="12" width="14.28125" style="39" customWidth="1"/>
    <col min="13" max="16384" width="7.8515625" style="4" customWidth="1"/>
  </cols>
  <sheetData>
    <row r="1" ht="12.75"/>
    <row r="2" ht="25.5" customHeight="1">
      <c r="A2" s="40" t="s">
        <v>1051</v>
      </c>
    </row>
    <row r="3" ht="15.75" customHeight="1">
      <c r="A3" s="41" t="s">
        <v>1052</v>
      </c>
    </row>
    <row r="4" ht="15.75" customHeight="1">
      <c r="A4" s="41" t="s">
        <v>1053</v>
      </c>
    </row>
    <row r="5" ht="15.75" customHeight="1">
      <c r="A5" s="41" t="s">
        <v>1054</v>
      </c>
    </row>
    <row r="6" ht="15.75">
      <c r="A6" s="42" t="s">
        <v>83</v>
      </c>
    </row>
    <row r="7" ht="12.75">
      <c r="A7" s="43"/>
    </row>
    <row r="8" spans="1:12" ht="12.75">
      <c r="A8" s="44" t="s">
        <v>1051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2.75">
      <c r="A9" s="45" t="s">
        <v>68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.75">
      <c r="A10" s="46" t="s">
        <v>113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807" t="s">
        <v>70</v>
      </c>
      <c r="B11" s="807"/>
      <c r="C11" s="807"/>
      <c r="D11" s="807"/>
      <c r="E11" s="807"/>
      <c r="F11" s="807"/>
      <c r="G11" s="807"/>
      <c r="H11" s="807"/>
      <c r="I11" s="807"/>
      <c r="J11" s="807"/>
      <c r="K11" s="807"/>
      <c r="L11" s="807"/>
    </row>
    <row r="12" spans="1:12" ht="12.75">
      <c r="A12" s="47" t="s">
        <v>1055</v>
      </c>
      <c r="B12" s="4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.75" hidden="1">
      <c r="A13" s="808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</row>
    <row r="14" spans="1:12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49" t="s">
        <v>332</v>
      </c>
      <c r="B15" s="51"/>
      <c r="C15" s="4"/>
      <c r="D15" s="4"/>
      <c r="E15" s="52"/>
      <c r="F15" s="52"/>
      <c r="G15" s="52"/>
      <c r="H15" s="52"/>
      <c r="I15" s="4"/>
      <c r="J15" s="4"/>
      <c r="K15" s="4"/>
      <c r="L15" s="53" t="s">
        <v>360</v>
      </c>
    </row>
    <row r="16" spans="1:12" ht="18" customHeight="1">
      <c r="A16" s="54"/>
      <c r="B16" s="55" t="s">
        <v>103</v>
      </c>
      <c r="C16" s="55" t="s">
        <v>103</v>
      </c>
      <c r="D16" s="812" t="s">
        <v>104</v>
      </c>
      <c r="E16" s="813"/>
      <c r="F16" s="814"/>
      <c r="G16" s="56" t="s">
        <v>107</v>
      </c>
      <c r="H16" s="809" t="s">
        <v>105</v>
      </c>
      <c r="I16" s="810"/>
      <c r="J16" s="811"/>
      <c r="K16" s="56" t="s">
        <v>107</v>
      </c>
      <c r="L16" s="804" t="s">
        <v>817</v>
      </c>
    </row>
    <row r="17" spans="1:12" ht="17.25" customHeight="1">
      <c r="A17" s="57" t="s">
        <v>114</v>
      </c>
      <c r="B17" s="58" t="s">
        <v>74</v>
      </c>
      <c r="C17" s="58" t="s">
        <v>75</v>
      </c>
      <c r="D17" s="55" t="str">
        <f>CONCATENATE("No ",B12)</f>
        <v>No Bimestre</v>
      </c>
      <c r="E17" s="55" t="str">
        <f>CONCATENATE("Até o  ",B12)</f>
        <v>Até o  Bimestre</v>
      </c>
      <c r="F17" s="55" t="s">
        <v>77</v>
      </c>
      <c r="G17" s="59"/>
      <c r="H17" s="55" t="str">
        <f>CONCATENATE("No ",B12)</f>
        <v>No Bimestre</v>
      </c>
      <c r="I17" s="55" t="str">
        <f>CONCATENATE("Até o  ",B12)</f>
        <v>Até o  Bimestre</v>
      </c>
      <c r="J17" s="55" t="s">
        <v>77</v>
      </c>
      <c r="K17" s="59"/>
      <c r="L17" s="805"/>
    </row>
    <row r="18" spans="1:12" s="62" customFormat="1" ht="18" customHeight="1">
      <c r="A18" s="60"/>
      <c r="B18" s="35"/>
      <c r="C18" s="38" t="s">
        <v>79</v>
      </c>
      <c r="D18" s="38"/>
      <c r="E18" s="38" t="s">
        <v>80</v>
      </c>
      <c r="F18" s="38" t="s">
        <v>36</v>
      </c>
      <c r="G18" s="61" t="s">
        <v>257</v>
      </c>
      <c r="H18" s="38"/>
      <c r="I18" s="38" t="s">
        <v>108</v>
      </c>
      <c r="J18" s="38" t="s">
        <v>592</v>
      </c>
      <c r="K18" s="61" t="s">
        <v>591</v>
      </c>
      <c r="L18" s="806"/>
    </row>
    <row r="19" spans="1:12" s="62" customFormat="1" ht="12.75">
      <c r="A19" s="63" t="s">
        <v>166</v>
      </c>
      <c r="B19" s="147">
        <f>B20+B25+B30+B35+B48+B54+B60+B65+B72+B79+B88+B95+B106+B111+B117+B123+B128+B133+B141+B147+B155+B160+B168+B176+B181+B188+B196+B202+B211</f>
        <v>1143596905</v>
      </c>
      <c r="C19" s="147">
        <f>C20+C25+C30+C35+C48+C54+C60+C65+C72+C79+C88+C95+C106+C111+C117+C123+C128+C133+C141+C147+C155+C160+C168+C176+C181+C188+C196+C202+C211</f>
        <v>1223055975.1599998</v>
      </c>
      <c r="D19" s="147">
        <f>D20+D25+D30+D35+D48+D54+D60+D65+D72+D79+D88+D95+D106+D111+D117+D123+D128+D133+D141+D147+D155+D160+D168+D176+D181+D188+D196+D202+D211</f>
        <v>119515357.64000002</v>
      </c>
      <c r="E19" s="147">
        <f>E20+E25+E30+E35+E48+E54+E60+E65+E72+E79+E88+E95+E106+E111+E117+E123+E128+E133+E141+E147+E155+E160+E168+E176+E181+E188+E196+E202+E211</f>
        <v>502278824.56</v>
      </c>
      <c r="F19" s="147">
        <f aca="true" t="shared" si="0" ref="F19:F50">IF($E$213&gt;0,E19/$E$213,0)*100</f>
        <v>93.22094323674082</v>
      </c>
      <c r="G19" s="147">
        <f>G20+G25+G30+G35+G48+G54+G60+G65+G72+G79+G88+G95+G106+G111+G117+G123+G128+G133+G141+G147+G155+G160+G168+G176+G181+G188+G196+G202+G211</f>
        <v>720777150.6</v>
      </c>
      <c r="H19" s="147">
        <f>H20+H25+H30+H35+H48+H54+H60+H65+H72+H79+H88+H95+H106+H111+H117+H123+H128+H133+H141+H147+H155+H160+H168+H176+H181+H188+H196+H202+H211</f>
        <v>168235096.74</v>
      </c>
      <c r="I19" s="147">
        <f>I20+I25+I30+I35+I48+I54+I60+I65+I72+I79+I88+I95+I106+I111+I117+I123+I128+I133+I141+I147+I155+I160+I168+I176+I181+I188+I196+I202+I211</f>
        <v>298684193.96000004</v>
      </c>
      <c r="J19" s="145">
        <f aca="true" t="shared" si="1" ref="J19:J50">IF($I$213&gt;0,I19/$I$213,0)*100</f>
        <v>90.27340600130562</v>
      </c>
      <c r="K19" s="145">
        <f>K20+K25+K30+K35+K48+K54+K60+K65+K72+K79+K88+K95+K106+K111+K117+K123+K128+K133+K141+K147+K155+K160+K168+K176+K181+K188+K196+K202+K211</f>
        <v>924371781.2</v>
      </c>
      <c r="L19" s="148">
        <f>L20+L25+L30+L35+L48+L54+L60+L65+L72+L79+L88+L95+L106+L111+L117+L123+L128+L133+L141+L147+L155+L160+L168+L176+L181+L188+L196+L202+L211</f>
        <v>0</v>
      </c>
    </row>
    <row r="20" spans="1:12" s="62" customFormat="1" ht="12.75">
      <c r="A20" s="64" t="s">
        <v>248</v>
      </c>
      <c r="B20" s="147">
        <f>SUM(B21:B24)</f>
        <v>14865000</v>
      </c>
      <c r="C20" s="147">
        <f>SUM(C21:C24)</f>
        <v>14865000</v>
      </c>
      <c r="D20" s="147">
        <f>SUM(D21:D24)</f>
        <v>1664491.86</v>
      </c>
      <c r="E20" s="147">
        <f>SUM(E21:E24)</f>
        <v>3747544.74</v>
      </c>
      <c r="F20" s="147">
        <f t="shared" si="0"/>
        <v>0.6955293323199909</v>
      </c>
      <c r="G20" s="147">
        <f>SUM(G21:G24)</f>
        <v>11117455.26</v>
      </c>
      <c r="H20" s="147">
        <f>SUM(H21:H24)</f>
        <v>1612378.45</v>
      </c>
      <c r="I20" s="147">
        <f>SUM(I21:I24)</f>
        <v>3175034.5</v>
      </c>
      <c r="J20" s="145">
        <f t="shared" si="1"/>
        <v>0.9596128093910349</v>
      </c>
      <c r="K20" s="145">
        <f>SUM(K21:K24)</f>
        <v>11689965.5</v>
      </c>
      <c r="L20" s="147">
        <f>SUM(L21:L24)</f>
        <v>0</v>
      </c>
    </row>
    <row r="21" spans="1:12" ht="12.75">
      <c r="A21" s="65" t="s">
        <v>361</v>
      </c>
      <c r="B21" s="162">
        <v>14865000</v>
      </c>
      <c r="C21" s="147">
        <v>14865000</v>
      </c>
      <c r="D21" s="147">
        <v>1664491.86</v>
      </c>
      <c r="E21" s="147">
        <v>3747544.74</v>
      </c>
      <c r="F21" s="147">
        <f t="shared" si="0"/>
        <v>0.6955293323199909</v>
      </c>
      <c r="G21" s="147">
        <f>C21-E21</f>
        <v>11117455.26</v>
      </c>
      <c r="H21" s="147">
        <v>1612378.45</v>
      </c>
      <c r="I21" s="147">
        <v>3175034.5</v>
      </c>
      <c r="J21" s="145">
        <f t="shared" si="1"/>
        <v>0.9596128093910349</v>
      </c>
      <c r="K21" s="145">
        <f>C21-I21</f>
        <v>11689965.5</v>
      </c>
      <c r="L21" s="147"/>
    </row>
    <row r="22" spans="1:12" ht="12.75">
      <c r="A22" s="65" t="s">
        <v>362</v>
      </c>
      <c r="B22" s="162"/>
      <c r="C22" s="147"/>
      <c r="D22" s="147"/>
      <c r="E22" s="147"/>
      <c r="F22" s="147">
        <f t="shared" si="0"/>
        <v>0</v>
      </c>
      <c r="G22" s="147">
        <f>C22-E22</f>
        <v>0</v>
      </c>
      <c r="H22" s="147"/>
      <c r="I22" s="147"/>
      <c r="J22" s="145">
        <f t="shared" si="1"/>
        <v>0</v>
      </c>
      <c r="K22" s="145">
        <f>C22-I22</f>
        <v>0</v>
      </c>
      <c r="L22" s="147"/>
    </row>
    <row r="23" spans="1:12" ht="12.75">
      <c r="A23" s="65" t="s">
        <v>369</v>
      </c>
      <c r="B23" s="162"/>
      <c r="C23" s="147"/>
      <c r="D23" s="147"/>
      <c r="E23" s="147"/>
      <c r="F23" s="147">
        <f t="shared" si="0"/>
        <v>0</v>
      </c>
      <c r="G23" s="147">
        <f>C23-E23</f>
        <v>0</v>
      </c>
      <c r="H23" s="147"/>
      <c r="I23" s="147"/>
      <c r="J23" s="145">
        <f t="shared" si="1"/>
        <v>0</v>
      </c>
      <c r="K23" s="145">
        <f>C23-I23</f>
        <v>0</v>
      </c>
      <c r="L23" s="147"/>
    </row>
    <row r="24" spans="1:12" ht="12.75">
      <c r="A24" s="65" t="s">
        <v>363</v>
      </c>
      <c r="B24" s="162"/>
      <c r="C24" s="147"/>
      <c r="D24" s="147"/>
      <c r="E24" s="147"/>
      <c r="F24" s="147">
        <f t="shared" si="0"/>
        <v>0</v>
      </c>
      <c r="G24" s="147">
        <f>C24-E24</f>
        <v>0</v>
      </c>
      <c r="H24" s="147"/>
      <c r="I24" s="147"/>
      <c r="J24" s="147">
        <f t="shared" si="1"/>
        <v>0</v>
      </c>
      <c r="K24" s="145">
        <f>C24-I24</f>
        <v>0</v>
      </c>
      <c r="L24" s="147"/>
    </row>
    <row r="25" spans="1:12" ht="12.75">
      <c r="A25" s="64" t="s">
        <v>249</v>
      </c>
      <c r="B25" s="147">
        <f>SUM(B26:B29)</f>
        <v>0</v>
      </c>
      <c r="C25" s="147">
        <f>SUM(C26:C29)</f>
        <v>0</v>
      </c>
      <c r="D25" s="147">
        <f>SUM(D26:D29)</f>
        <v>0</v>
      </c>
      <c r="E25" s="147">
        <f>SUM(E26:E29)</f>
        <v>0</v>
      </c>
      <c r="F25" s="147">
        <f t="shared" si="0"/>
        <v>0</v>
      </c>
      <c r="G25" s="147">
        <f>SUM(G26:G29)</f>
        <v>0</v>
      </c>
      <c r="H25" s="147">
        <f>SUM(H26:H29)</f>
        <v>0</v>
      </c>
      <c r="I25" s="147">
        <f>SUM(I26:I29)</f>
        <v>0</v>
      </c>
      <c r="J25" s="147">
        <f t="shared" si="1"/>
        <v>0</v>
      </c>
      <c r="K25" s="145">
        <f>SUM(K26:K29)</f>
        <v>0</v>
      </c>
      <c r="L25" s="147">
        <f>SUM(L26:L29)</f>
        <v>0</v>
      </c>
    </row>
    <row r="26" spans="1:12" ht="12.75">
      <c r="A26" s="65" t="s">
        <v>364</v>
      </c>
      <c r="B26" s="147"/>
      <c r="C26" s="147"/>
      <c r="D26" s="147"/>
      <c r="E26" s="147"/>
      <c r="F26" s="147">
        <f t="shared" si="0"/>
        <v>0</v>
      </c>
      <c r="G26" s="147">
        <f>C26-E26</f>
        <v>0</v>
      </c>
      <c r="H26" s="147"/>
      <c r="I26" s="147"/>
      <c r="J26" s="147">
        <f t="shared" si="1"/>
        <v>0</v>
      </c>
      <c r="K26" s="145">
        <f>C26-I26</f>
        <v>0</v>
      </c>
      <c r="L26" s="147"/>
    </row>
    <row r="27" spans="1:12" ht="12.75">
      <c r="A27" s="65" t="s">
        <v>365</v>
      </c>
      <c r="B27" s="147"/>
      <c r="C27" s="147"/>
      <c r="D27" s="147"/>
      <c r="E27" s="147"/>
      <c r="F27" s="147">
        <f t="shared" si="0"/>
        <v>0</v>
      </c>
      <c r="G27" s="147">
        <f>C27-E27</f>
        <v>0</v>
      </c>
      <c r="H27" s="147"/>
      <c r="I27" s="147"/>
      <c r="J27" s="147">
        <f t="shared" si="1"/>
        <v>0</v>
      </c>
      <c r="K27" s="145">
        <f>C27-I27</f>
        <v>0</v>
      </c>
      <c r="L27" s="147"/>
    </row>
    <row r="28" spans="1:12" ht="12.75">
      <c r="A28" s="65" t="s">
        <v>369</v>
      </c>
      <c r="B28" s="147"/>
      <c r="C28" s="147"/>
      <c r="D28" s="147"/>
      <c r="E28" s="147"/>
      <c r="F28" s="147">
        <f t="shared" si="0"/>
        <v>0</v>
      </c>
      <c r="G28" s="147">
        <f>C28-E28</f>
        <v>0</v>
      </c>
      <c r="H28" s="147"/>
      <c r="I28" s="147"/>
      <c r="J28" s="147">
        <f t="shared" si="1"/>
        <v>0</v>
      </c>
      <c r="K28" s="145">
        <f>C28-I28</f>
        <v>0</v>
      </c>
      <c r="L28" s="147"/>
    </row>
    <row r="29" spans="1:12" ht="12.75">
      <c r="A29" s="65" t="s">
        <v>363</v>
      </c>
      <c r="B29" s="147"/>
      <c r="C29" s="147"/>
      <c r="D29" s="147"/>
      <c r="E29" s="147"/>
      <c r="F29" s="147">
        <f t="shared" si="0"/>
        <v>0</v>
      </c>
      <c r="G29" s="147">
        <f>C29-E29</f>
        <v>0</v>
      </c>
      <c r="H29" s="147"/>
      <c r="I29" s="147"/>
      <c r="J29" s="147">
        <f t="shared" si="1"/>
        <v>0</v>
      </c>
      <c r="K29" s="145">
        <f>C29-I29</f>
        <v>0</v>
      </c>
      <c r="L29" s="147"/>
    </row>
    <row r="30" spans="1:12" ht="12.75">
      <c r="A30" s="64" t="s">
        <v>250</v>
      </c>
      <c r="B30" s="147">
        <f>SUM(B31:B34)</f>
        <v>0</v>
      </c>
      <c r="C30" s="147">
        <f>SUM(C31:C34)</f>
        <v>0</v>
      </c>
      <c r="D30" s="147">
        <f>SUM(D31:D34)</f>
        <v>0</v>
      </c>
      <c r="E30" s="147">
        <f>SUM(E31:E34)</f>
        <v>0</v>
      </c>
      <c r="F30" s="147">
        <f t="shared" si="0"/>
        <v>0</v>
      </c>
      <c r="G30" s="147">
        <f>SUM(G31:G34)</f>
        <v>0</v>
      </c>
      <c r="H30" s="147">
        <f>SUM(H31:H34)</f>
        <v>0</v>
      </c>
      <c r="I30" s="147">
        <f>SUM(I31:I34)</f>
        <v>0</v>
      </c>
      <c r="J30" s="147">
        <f t="shared" si="1"/>
        <v>0</v>
      </c>
      <c r="K30" s="145">
        <f>SUM(K31:K34)</f>
        <v>0</v>
      </c>
      <c r="L30" s="147">
        <f>SUM(L31:L34)</f>
        <v>0</v>
      </c>
    </row>
    <row r="31" spans="1:12" ht="12.75">
      <c r="A31" s="65" t="s">
        <v>366</v>
      </c>
      <c r="B31" s="147"/>
      <c r="C31" s="147"/>
      <c r="D31" s="147"/>
      <c r="E31" s="147"/>
      <c r="F31" s="147">
        <f t="shared" si="0"/>
        <v>0</v>
      </c>
      <c r="G31" s="147">
        <f>C31-E31</f>
        <v>0</v>
      </c>
      <c r="H31" s="147"/>
      <c r="I31" s="147"/>
      <c r="J31" s="147">
        <f t="shared" si="1"/>
        <v>0</v>
      </c>
      <c r="K31" s="145">
        <f>C31-I31</f>
        <v>0</v>
      </c>
      <c r="L31" s="147"/>
    </row>
    <row r="32" spans="1:12" ht="12.75">
      <c r="A32" s="65" t="s">
        <v>367</v>
      </c>
      <c r="B32" s="147"/>
      <c r="C32" s="147"/>
      <c r="D32" s="147"/>
      <c r="E32" s="147"/>
      <c r="F32" s="147">
        <f t="shared" si="0"/>
        <v>0</v>
      </c>
      <c r="G32" s="147">
        <f>C32-E32</f>
        <v>0</v>
      </c>
      <c r="H32" s="147"/>
      <c r="I32" s="147"/>
      <c r="J32" s="147">
        <f t="shared" si="1"/>
        <v>0</v>
      </c>
      <c r="K32" s="145">
        <f>C32-I32</f>
        <v>0</v>
      </c>
      <c r="L32" s="147"/>
    </row>
    <row r="33" spans="1:12" ht="12.75">
      <c r="A33" s="65" t="s">
        <v>369</v>
      </c>
      <c r="B33" s="147"/>
      <c r="C33" s="147"/>
      <c r="D33" s="147"/>
      <c r="E33" s="147"/>
      <c r="F33" s="147">
        <f t="shared" si="0"/>
        <v>0</v>
      </c>
      <c r="G33" s="147">
        <f>C33-E33</f>
        <v>0</v>
      </c>
      <c r="H33" s="147"/>
      <c r="I33" s="147"/>
      <c r="J33" s="147">
        <f t="shared" si="1"/>
        <v>0</v>
      </c>
      <c r="K33" s="145">
        <f>C33-I33</f>
        <v>0</v>
      </c>
      <c r="L33" s="147"/>
    </row>
    <row r="34" spans="1:12" ht="12.75">
      <c r="A34" s="65" t="s">
        <v>363</v>
      </c>
      <c r="B34" s="147"/>
      <c r="C34" s="147"/>
      <c r="D34" s="147"/>
      <c r="E34" s="147"/>
      <c r="F34" s="147">
        <f t="shared" si="0"/>
        <v>0</v>
      </c>
      <c r="G34" s="147">
        <f>C34-E34</f>
        <v>0</v>
      </c>
      <c r="H34" s="147"/>
      <c r="I34" s="147"/>
      <c r="J34" s="147">
        <f t="shared" si="1"/>
        <v>0</v>
      </c>
      <c r="K34" s="145">
        <f>C34-I34</f>
        <v>0</v>
      </c>
      <c r="L34" s="147"/>
    </row>
    <row r="35" spans="1:12" ht="12.75">
      <c r="A35" s="64" t="s">
        <v>258</v>
      </c>
      <c r="B35" s="147">
        <f>SUM(B36:B47)</f>
        <v>78062000</v>
      </c>
      <c r="C35" s="147">
        <f>SUM(C36:C47)</f>
        <v>82763459.41</v>
      </c>
      <c r="D35" s="147">
        <f>SUM(D36:D47)</f>
        <v>12240170.94</v>
      </c>
      <c r="E35" s="147">
        <f>SUM(E36:E47)</f>
        <v>34626947.45</v>
      </c>
      <c r="F35" s="147">
        <f t="shared" si="0"/>
        <v>6.4266231122241155</v>
      </c>
      <c r="G35" s="147">
        <f>SUM(G36:G47)</f>
        <v>48136511.95999999</v>
      </c>
      <c r="H35" s="147">
        <f>SUM(H36:H47)</f>
        <v>11176037.27</v>
      </c>
      <c r="I35" s="147">
        <f>SUM(I36:I47)</f>
        <v>20406822.869999997</v>
      </c>
      <c r="J35" s="147">
        <f t="shared" si="1"/>
        <v>6.1676963274024015</v>
      </c>
      <c r="K35" s="145">
        <f>SUM(K36:K47)</f>
        <v>62356636.54</v>
      </c>
      <c r="L35" s="147">
        <f>SUM(L36:L47)</f>
        <v>0</v>
      </c>
    </row>
    <row r="36" spans="1:12" ht="12.75">
      <c r="A36" s="65" t="s">
        <v>368</v>
      </c>
      <c r="B36" s="147"/>
      <c r="C36" s="147"/>
      <c r="D36" s="147"/>
      <c r="E36" s="147"/>
      <c r="F36" s="147">
        <f t="shared" si="0"/>
        <v>0</v>
      </c>
      <c r="G36" s="147">
        <f aca="true" t="shared" si="2" ref="G36:G47">C36-E36</f>
        <v>0</v>
      </c>
      <c r="H36" s="147"/>
      <c r="I36" s="147"/>
      <c r="J36" s="147">
        <f t="shared" si="1"/>
        <v>0</v>
      </c>
      <c r="K36" s="145">
        <f aca="true" t="shared" si="3" ref="K36:K47">C36-I36</f>
        <v>0</v>
      </c>
      <c r="L36" s="147"/>
    </row>
    <row r="37" spans="1:12" ht="12.75">
      <c r="A37" s="65" t="s">
        <v>369</v>
      </c>
      <c r="B37" s="147">
        <v>51618000</v>
      </c>
      <c r="C37" s="147">
        <v>53203860</v>
      </c>
      <c r="D37" s="147">
        <v>8862375.45</v>
      </c>
      <c r="E37" s="147">
        <v>23680333.82</v>
      </c>
      <c r="F37" s="147">
        <f t="shared" si="0"/>
        <v>4.394975354167245</v>
      </c>
      <c r="G37" s="147">
        <f t="shared" si="2"/>
        <v>29523526.18</v>
      </c>
      <c r="H37" s="147">
        <v>7492253.4</v>
      </c>
      <c r="I37" s="147">
        <v>12914785.09</v>
      </c>
      <c r="J37" s="147">
        <f t="shared" si="1"/>
        <v>3.9033255238317413</v>
      </c>
      <c r="K37" s="145">
        <f t="shared" si="3"/>
        <v>40289074.91</v>
      </c>
      <c r="L37" s="147"/>
    </row>
    <row r="38" spans="1:12" ht="12.75">
      <c r="A38" s="65" t="s">
        <v>370</v>
      </c>
      <c r="B38" s="147">
        <v>10595000</v>
      </c>
      <c r="C38" s="147">
        <v>10595000</v>
      </c>
      <c r="D38" s="147">
        <v>1112245.33</v>
      </c>
      <c r="E38" s="147">
        <v>4514150.66</v>
      </c>
      <c r="F38" s="147">
        <f t="shared" si="0"/>
        <v>0.8378083284848646</v>
      </c>
      <c r="G38" s="147">
        <f t="shared" si="2"/>
        <v>6080849.34</v>
      </c>
      <c r="H38" s="147">
        <v>1414227.63</v>
      </c>
      <c r="I38" s="147">
        <v>3049957.89</v>
      </c>
      <c r="J38" s="147">
        <f t="shared" si="1"/>
        <v>0.9218100336696351</v>
      </c>
      <c r="K38" s="145">
        <f t="shared" si="3"/>
        <v>7545042.109999999</v>
      </c>
      <c r="L38" s="147"/>
    </row>
    <row r="39" spans="1:12" ht="12.75">
      <c r="A39" s="65" t="s">
        <v>371</v>
      </c>
      <c r="B39" s="147">
        <v>1402000</v>
      </c>
      <c r="C39" s="147">
        <v>1402000</v>
      </c>
      <c r="D39" s="147">
        <v>140992.74</v>
      </c>
      <c r="E39" s="147">
        <v>311703.94</v>
      </c>
      <c r="F39" s="147">
        <f t="shared" si="0"/>
        <v>0.05785100600819258</v>
      </c>
      <c r="G39" s="147">
        <f t="shared" si="2"/>
        <v>1090296.06</v>
      </c>
      <c r="H39" s="147">
        <v>144775.26</v>
      </c>
      <c r="I39" s="147">
        <v>307921.42</v>
      </c>
      <c r="J39" s="147">
        <f t="shared" si="1"/>
        <v>0.09306523721801348</v>
      </c>
      <c r="K39" s="145">
        <f t="shared" si="3"/>
        <v>1094078.58</v>
      </c>
      <c r="L39" s="147"/>
    </row>
    <row r="40" spans="1:12" ht="12.75">
      <c r="A40" s="65" t="s">
        <v>372</v>
      </c>
      <c r="B40" s="147"/>
      <c r="C40" s="147"/>
      <c r="D40" s="147"/>
      <c r="E40" s="147"/>
      <c r="F40" s="147">
        <f t="shared" si="0"/>
        <v>0</v>
      </c>
      <c r="G40" s="147">
        <f t="shared" si="2"/>
        <v>0</v>
      </c>
      <c r="H40" s="147"/>
      <c r="I40" s="147"/>
      <c r="J40" s="147">
        <f t="shared" si="1"/>
        <v>0</v>
      </c>
      <c r="K40" s="145">
        <f t="shared" si="3"/>
        <v>0</v>
      </c>
      <c r="L40" s="147"/>
    </row>
    <row r="41" spans="1:12" ht="12.75">
      <c r="A41" s="65" t="s">
        <v>373</v>
      </c>
      <c r="B41" s="147"/>
      <c r="C41" s="147"/>
      <c r="D41" s="147"/>
      <c r="E41" s="147"/>
      <c r="F41" s="147">
        <f t="shared" si="0"/>
        <v>0</v>
      </c>
      <c r="G41" s="147">
        <f t="shared" si="2"/>
        <v>0</v>
      </c>
      <c r="H41" s="147"/>
      <c r="I41" s="147"/>
      <c r="J41" s="147">
        <f t="shared" si="1"/>
        <v>0</v>
      </c>
      <c r="K41" s="145">
        <f t="shared" si="3"/>
        <v>0</v>
      </c>
      <c r="L41" s="147"/>
    </row>
    <row r="42" spans="1:12" ht="12.75">
      <c r="A42" s="65" t="s">
        <v>374</v>
      </c>
      <c r="B42" s="147">
        <v>5790000</v>
      </c>
      <c r="C42" s="147">
        <v>8905599.41</v>
      </c>
      <c r="D42" s="147">
        <v>1310681</v>
      </c>
      <c r="E42" s="147">
        <v>2093537.01</v>
      </c>
      <c r="F42" s="147">
        <f t="shared" si="0"/>
        <v>0.3885521053852689</v>
      </c>
      <c r="G42" s="147">
        <f t="shared" si="2"/>
        <v>6812062.4</v>
      </c>
      <c r="H42" s="147">
        <v>804993.86</v>
      </c>
      <c r="I42" s="147">
        <v>1518608.71</v>
      </c>
      <c r="J42" s="147">
        <f t="shared" si="1"/>
        <v>0.4589796963052828</v>
      </c>
      <c r="K42" s="145">
        <f t="shared" si="3"/>
        <v>7386990.7</v>
      </c>
      <c r="L42" s="147"/>
    </row>
    <row r="43" spans="1:12" ht="12.75">
      <c r="A43" s="65" t="s">
        <v>375</v>
      </c>
      <c r="B43" s="147"/>
      <c r="C43" s="147"/>
      <c r="D43" s="147"/>
      <c r="E43" s="147"/>
      <c r="F43" s="147">
        <f t="shared" si="0"/>
        <v>0</v>
      </c>
      <c r="G43" s="147">
        <f t="shared" si="2"/>
        <v>0</v>
      </c>
      <c r="H43" s="147"/>
      <c r="I43" s="147"/>
      <c r="J43" s="147">
        <f t="shared" si="1"/>
        <v>0</v>
      </c>
      <c r="K43" s="145">
        <f t="shared" si="3"/>
        <v>0</v>
      </c>
      <c r="L43" s="147"/>
    </row>
    <row r="44" spans="1:12" ht="12.75">
      <c r="A44" s="65" t="s">
        <v>376</v>
      </c>
      <c r="B44" s="147"/>
      <c r="C44" s="147"/>
      <c r="D44" s="147"/>
      <c r="E44" s="147"/>
      <c r="F44" s="147">
        <f t="shared" si="0"/>
        <v>0</v>
      </c>
      <c r="G44" s="147">
        <f t="shared" si="2"/>
        <v>0</v>
      </c>
      <c r="H44" s="147"/>
      <c r="I44" s="147"/>
      <c r="J44" s="147">
        <f t="shared" si="1"/>
        <v>0</v>
      </c>
      <c r="K44" s="145">
        <f t="shared" si="3"/>
        <v>0</v>
      </c>
      <c r="L44" s="147"/>
    </row>
    <row r="45" spans="1:12" ht="12.75">
      <c r="A45" s="65" t="s">
        <v>377</v>
      </c>
      <c r="B45" s="147"/>
      <c r="C45" s="147"/>
      <c r="D45" s="147"/>
      <c r="E45" s="147"/>
      <c r="F45" s="147">
        <f t="shared" si="0"/>
        <v>0</v>
      </c>
      <c r="G45" s="147">
        <f t="shared" si="2"/>
        <v>0</v>
      </c>
      <c r="H45" s="147"/>
      <c r="I45" s="147"/>
      <c r="J45" s="147">
        <f t="shared" si="1"/>
        <v>0</v>
      </c>
      <c r="K45" s="145">
        <f t="shared" si="3"/>
        <v>0</v>
      </c>
      <c r="L45" s="147"/>
    </row>
    <row r="46" spans="1:12" ht="12.75">
      <c r="A46" s="65" t="s">
        <v>378</v>
      </c>
      <c r="B46" s="147">
        <v>8657000</v>
      </c>
      <c r="C46" s="147">
        <v>8657000</v>
      </c>
      <c r="D46" s="147">
        <v>813876.42</v>
      </c>
      <c r="E46" s="147">
        <v>4027222.02</v>
      </c>
      <c r="F46" s="147">
        <f t="shared" si="0"/>
        <v>0.747436318178543</v>
      </c>
      <c r="G46" s="147">
        <f t="shared" si="2"/>
        <v>4629777.98</v>
      </c>
      <c r="H46" s="147">
        <v>1319787.12</v>
      </c>
      <c r="I46" s="147">
        <v>2615549.76</v>
      </c>
      <c r="J46" s="147">
        <f t="shared" si="1"/>
        <v>0.7905158363777297</v>
      </c>
      <c r="K46" s="145">
        <f t="shared" si="3"/>
        <v>6041450.24</v>
      </c>
      <c r="L46" s="147"/>
    </row>
    <row r="47" spans="1:12" ht="12.75">
      <c r="A47" s="65" t="s">
        <v>363</v>
      </c>
      <c r="B47" s="147"/>
      <c r="C47" s="147"/>
      <c r="D47" s="147"/>
      <c r="E47" s="147"/>
      <c r="F47" s="147">
        <f t="shared" si="0"/>
        <v>0</v>
      </c>
      <c r="G47" s="147">
        <f t="shared" si="2"/>
        <v>0</v>
      </c>
      <c r="H47" s="147"/>
      <c r="I47" s="147"/>
      <c r="J47" s="147">
        <f t="shared" si="1"/>
        <v>0</v>
      </c>
      <c r="K47" s="145">
        <f t="shared" si="3"/>
        <v>0</v>
      </c>
      <c r="L47" s="147"/>
    </row>
    <row r="48" spans="1:12" ht="12.75">
      <c r="A48" s="64" t="s">
        <v>259</v>
      </c>
      <c r="B48" s="147">
        <f>SUM(B49:B53)</f>
        <v>0</v>
      </c>
      <c r="C48" s="147">
        <f>SUM(C49:C53)</f>
        <v>0</v>
      </c>
      <c r="D48" s="147">
        <f>SUM(D49:D53)</f>
        <v>0</v>
      </c>
      <c r="E48" s="147">
        <f>SUM(E49:E53)</f>
        <v>0</v>
      </c>
      <c r="F48" s="147">
        <f t="shared" si="0"/>
        <v>0</v>
      </c>
      <c r="G48" s="147">
        <f>SUM(G49:G53)</f>
        <v>0</v>
      </c>
      <c r="H48" s="147">
        <f>SUM(H49:H53)</f>
        <v>0</v>
      </c>
      <c r="I48" s="147">
        <f>SUM(I49:I53)</f>
        <v>0</v>
      </c>
      <c r="J48" s="147">
        <f t="shared" si="1"/>
        <v>0</v>
      </c>
      <c r="K48" s="145">
        <f>SUM(K49:K53)</f>
        <v>0</v>
      </c>
      <c r="L48" s="147">
        <f>SUM(L49:L53)</f>
        <v>0</v>
      </c>
    </row>
    <row r="49" spans="1:12" ht="12.75">
      <c r="A49" s="65" t="s">
        <v>379</v>
      </c>
      <c r="B49" s="147"/>
      <c r="C49" s="147"/>
      <c r="D49" s="147"/>
      <c r="E49" s="147"/>
      <c r="F49" s="147">
        <f t="shared" si="0"/>
        <v>0</v>
      </c>
      <c r="G49" s="147">
        <f>C49-E49</f>
        <v>0</v>
      </c>
      <c r="H49" s="147"/>
      <c r="I49" s="147"/>
      <c r="J49" s="147">
        <f t="shared" si="1"/>
        <v>0</v>
      </c>
      <c r="K49" s="145">
        <f>C49-I49</f>
        <v>0</v>
      </c>
      <c r="L49" s="147"/>
    </row>
    <row r="50" spans="1:12" ht="12.75">
      <c r="A50" s="65" t="s">
        <v>380</v>
      </c>
      <c r="B50" s="147"/>
      <c r="C50" s="147"/>
      <c r="D50" s="147"/>
      <c r="E50" s="147"/>
      <c r="F50" s="147">
        <f t="shared" si="0"/>
        <v>0</v>
      </c>
      <c r="G50" s="147">
        <f>C50-E50</f>
        <v>0</v>
      </c>
      <c r="H50" s="147"/>
      <c r="I50" s="147"/>
      <c r="J50" s="147">
        <f t="shared" si="1"/>
        <v>0</v>
      </c>
      <c r="K50" s="145">
        <f>C50-I50</f>
        <v>0</v>
      </c>
      <c r="L50" s="147"/>
    </row>
    <row r="51" spans="1:12" ht="12.75">
      <c r="A51" s="65" t="s">
        <v>381</v>
      </c>
      <c r="B51" s="147"/>
      <c r="C51" s="147"/>
      <c r="D51" s="147"/>
      <c r="E51" s="147"/>
      <c r="F51" s="147">
        <f aca="true" t="shared" si="4" ref="F51:F82">IF($E$213&gt;0,E51/$E$213,0)*100</f>
        <v>0</v>
      </c>
      <c r="G51" s="147">
        <f>C51-E51</f>
        <v>0</v>
      </c>
      <c r="H51" s="147"/>
      <c r="I51" s="147"/>
      <c r="J51" s="147">
        <f aca="true" t="shared" si="5" ref="J51:J82">IF($I$213&gt;0,I51/$I$213,0)*100</f>
        <v>0</v>
      </c>
      <c r="K51" s="145">
        <f>C51-I51</f>
        <v>0</v>
      </c>
      <c r="L51" s="147"/>
    </row>
    <row r="52" spans="1:12" ht="12.75">
      <c r="A52" s="65" t="s">
        <v>369</v>
      </c>
      <c r="B52" s="147"/>
      <c r="C52" s="147"/>
      <c r="D52" s="147"/>
      <c r="E52" s="147"/>
      <c r="F52" s="147">
        <f t="shared" si="4"/>
        <v>0</v>
      </c>
      <c r="G52" s="147">
        <f>C52-E52</f>
        <v>0</v>
      </c>
      <c r="H52" s="147"/>
      <c r="I52" s="147"/>
      <c r="J52" s="147">
        <f t="shared" si="5"/>
        <v>0</v>
      </c>
      <c r="K52" s="145">
        <f>C52-I52</f>
        <v>0</v>
      </c>
      <c r="L52" s="147"/>
    </row>
    <row r="53" spans="1:12" ht="12.75">
      <c r="A53" s="65" t="s">
        <v>363</v>
      </c>
      <c r="B53" s="147"/>
      <c r="C53" s="147"/>
      <c r="D53" s="147"/>
      <c r="E53" s="147"/>
      <c r="F53" s="147">
        <f t="shared" si="4"/>
        <v>0</v>
      </c>
      <c r="G53" s="147">
        <f>C53-E53</f>
        <v>0</v>
      </c>
      <c r="H53" s="147"/>
      <c r="I53" s="147"/>
      <c r="J53" s="147">
        <f t="shared" si="5"/>
        <v>0</v>
      </c>
      <c r="K53" s="145">
        <f>C53-I53</f>
        <v>0</v>
      </c>
      <c r="L53" s="147"/>
    </row>
    <row r="54" spans="1:12" ht="12.75">
      <c r="A54" s="64" t="s">
        <v>260</v>
      </c>
      <c r="B54" s="147">
        <f>SUM(B55:B59)</f>
        <v>32097000</v>
      </c>
      <c r="C54" s="147">
        <f>SUM(C55:C59)</f>
        <v>34808000</v>
      </c>
      <c r="D54" s="147">
        <f>SUM(D55:D59)</f>
        <v>5008448.9</v>
      </c>
      <c r="E54" s="147">
        <f>SUM(E55:E59)</f>
        <v>10799489.71</v>
      </c>
      <c r="F54" s="147">
        <f t="shared" si="4"/>
        <v>2.004342146264253</v>
      </c>
      <c r="G54" s="147">
        <f>SUM(G55:G59)</f>
        <v>24008510.29</v>
      </c>
      <c r="H54" s="147">
        <f>SUM(H55:H59)</f>
        <v>5277948.22</v>
      </c>
      <c r="I54" s="147">
        <f>SUM(I55:I59)</f>
        <v>9883797.57</v>
      </c>
      <c r="J54" s="147">
        <f t="shared" si="5"/>
        <v>2.9872490373254164</v>
      </c>
      <c r="K54" s="145">
        <f>SUM(K55:K59)</f>
        <v>24924202.43</v>
      </c>
      <c r="L54" s="147">
        <f>SUM(L55:L59)</f>
        <v>0</v>
      </c>
    </row>
    <row r="55" spans="1:12" ht="12.75">
      <c r="A55" s="65" t="s">
        <v>382</v>
      </c>
      <c r="B55" s="147"/>
      <c r="C55" s="147"/>
      <c r="D55" s="147"/>
      <c r="E55" s="147"/>
      <c r="F55" s="147">
        <f t="shared" si="4"/>
        <v>0</v>
      </c>
      <c r="G55" s="147">
        <f>C55-E55</f>
        <v>0</v>
      </c>
      <c r="H55" s="147"/>
      <c r="I55" s="147"/>
      <c r="J55" s="147">
        <f t="shared" si="5"/>
        <v>0</v>
      </c>
      <c r="K55" s="145">
        <f>C55-I55</f>
        <v>0</v>
      </c>
      <c r="L55" s="147"/>
    </row>
    <row r="56" spans="1:12" ht="12.75">
      <c r="A56" s="65" t="s">
        <v>383</v>
      </c>
      <c r="B56" s="147">
        <v>32097000</v>
      </c>
      <c r="C56" s="147">
        <v>34808000</v>
      </c>
      <c r="D56" s="147">
        <v>5008448.9</v>
      </c>
      <c r="E56" s="147">
        <v>10799489.71</v>
      </c>
      <c r="F56" s="147">
        <f t="shared" si="4"/>
        <v>2.004342146264253</v>
      </c>
      <c r="G56" s="147">
        <f>C56-E56</f>
        <v>24008510.29</v>
      </c>
      <c r="H56" s="147">
        <v>5277948.22</v>
      </c>
      <c r="I56" s="147">
        <v>9883797.57</v>
      </c>
      <c r="J56" s="147">
        <f t="shared" si="5"/>
        <v>2.9872490373254164</v>
      </c>
      <c r="K56" s="145">
        <f>C56-I56</f>
        <v>24924202.43</v>
      </c>
      <c r="L56" s="147"/>
    </row>
    <row r="57" spans="1:12" ht="12.75">
      <c r="A57" s="65" t="s">
        <v>384</v>
      </c>
      <c r="B57" s="147"/>
      <c r="C57" s="147"/>
      <c r="D57" s="147"/>
      <c r="E57" s="147"/>
      <c r="F57" s="147">
        <f t="shared" si="4"/>
        <v>0</v>
      </c>
      <c r="G57" s="147">
        <f>C57-E57</f>
        <v>0</v>
      </c>
      <c r="H57" s="147"/>
      <c r="I57" s="147"/>
      <c r="J57" s="147">
        <f t="shared" si="5"/>
        <v>0</v>
      </c>
      <c r="K57" s="145">
        <f>C57-I57</f>
        <v>0</v>
      </c>
      <c r="L57" s="147"/>
    </row>
    <row r="58" spans="1:12" ht="12.75">
      <c r="A58" s="65" t="s">
        <v>369</v>
      </c>
      <c r="B58" s="147"/>
      <c r="C58" s="147"/>
      <c r="D58" s="147"/>
      <c r="E58" s="147"/>
      <c r="F58" s="147">
        <f t="shared" si="4"/>
        <v>0</v>
      </c>
      <c r="G58" s="147">
        <f>C58-E58</f>
        <v>0</v>
      </c>
      <c r="H58" s="147"/>
      <c r="I58" s="147"/>
      <c r="J58" s="147">
        <f t="shared" si="5"/>
        <v>0</v>
      </c>
      <c r="K58" s="145">
        <f>C58-I58</f>
        <v>0</v>
      </c>
      <c r="L58" s="147"/>
    </row>
    <row r="59" spans="1:12" ht="12.75">
      <c r="A59" s="65" t="s">
        <v>363</v>
      </c>
      <c r="B59" s="147"/>
      <c r="C59" s="147"/>
      <c r="D59" s="147"/>
      <c r="E59" s="147"/>
      <c r="F59" s="147">
        <f t="shared" si="4"/>
        <v>0</v>
      </c>
      <c r="G59" s="147">
        <f>C59-E59</f>
        <v>0</v>
      </c>
      <c r="H59" s="147"/>
      <c r="I59" s="147"/>
      <c r="J59" s="147">
        <f t="shared" si="5"/>
        <v>0</v>
      </c>
      <c r="K59" s="145">
        <f>C59-I59</f>
        <v>0</v>
      </c>
      <c r="L59" s="147"/>
    </row>
    <row r="60" spans="1:12" ht="12.75">
      <c r="A60" s="64" t="s">
        <v>261</v>
      </c>
      <c r="B60" s="147">
        <f>SUM(B61:B64)</f>
        <v>0</v>
      </c>
      <c r="C60" s="147">
        <f>SUM(C61:C64)</f>
        <v>0</v>
      </c>
      <c r="D60" s="147">
        <f>SUM(D61:D64)</f>
        <v>0</v>
      </c>
      <c r="E60" s="147">
        <f>SUM(E61:E64)</f>
        <v>0</v>
      </c>
      <c r="F60" s="147">
        <f t="shared" si="4"/>
        <v>0</v>
      </c>
      <c r="G60" s="147">
        <f>SUM(G61:G64)</f>
        <v>0</v>
      </c>
      <c r="H60" s="147">
        <f>SUM(H61:H64)</f>
        <v>0</v>
      </c>
      <c r="I60" s="147">
        <f>SUM(I61:I64)</f>
        <v>0</v>
      </c>
      <c r="J60" s="147">
        <f t="shared" si="5"/>
        <v>0</v>
      </c>
      <c r="K60" s="145">
        <f>SUM(K61:K64)</f>
        <v>0</v>
      </c>
      <c r="L60" s="147">
        <f>SUM(L61:L64)</f>
        <v>0</v>
      </c>
    </row>
    <row r="61" spans="1:12" ht="12.75">
      <c r="A61" s="65" t="s">
        <v>385</v>
      </c>
      <c r="B61" s="147"/>
      <c r="C61" s="147"/>
      <c r="D61" s="147"/>
      <c r="E61" s="147"/>
      <c r="F61" s="147">
        <f t="shared" si="4"/>
        <v>0</v>
      </c>
      <c r="G61" s="147">
        <f>C61-E61</f>
        <v>0</v>
      </c>
      <c r="H61" s="147"/>
      <c r="I61" s="147"/>
      <c r="J61" s="147">
        <f t="shared" si="5"/>
        <v>0</v>
      </c>
      <c r="K61" s="145">
        <f>C61-I61</f>
        <v>0</v>
      </c>
      <c r="L61" s="147"/>
    </row>
    <row r="62" spans="1:12" ht="12.75">
      <c r="A62" s="65" t="s">
        <v>386</v>
      </c>
      <c r="B62" s="147"/>
      <c r="C62" s="147"/>
      <c r="D62" s="147"/>
      <c r="E62" s="147"/>
      <c r="F62" s="147">
        <f t="shared" si="4"/>
        <v>0</v>
      </c>
      <c r="G62" s="147">
        <f>C62-E62</f>
        <v>0</v>
      </c>
      <c r="H62" s="147"/>
      <c r="I62" s="147"/>
      <c r="J62" s="147">
        <f t="shared" si="5"/>
        <v>0</v>
      </c>
      <c r="K62" s="145">
        <f>C62-I62</f>
        <v>0</v>
      </c>
      <c r="L62" s="147"/>
    </row>
    <row r="63" spans="1:12" ht="12.75">
      <c r="A63" s="65" t="s">
        <v>369</v>
      </c>
      <c r="B63" s="147"/>
      <c r="C63" s="147"/>
      <c r="D63" s="147"/>
      <c r="E63" s="147"/>
      <c r="F63" s="147">
        <f t="shared" si="4"/>
        <v>0</v>
      </c>
      <c r="G63" s="147">
        <f>C63-E63</f>
        <v>0</v>
      </c>
      <c r="H63" s="147"/>
      <c r="I63" s="147"/>
      <c r="J63" s="147">
        <f t="shared" si="5"/>
        <v>0</v>
      </c>
      <c r="K63" s="145">
        <f>C63-I63</f>
        <v>0</v>
      </c>
      <c r="L63" s="147"/>
    </row>
    <row r="64" spans="1:12" ht="12.75">
      <c r="A64" s="65" t="s">
        <v>363</v>
      </c>
      <c r="B64" s="147"/>
      <c r="C64" s="147"/>
      <c r="D64" s="147"/>
      <c r="E64" s="147"/>
      <c r="F64" s="147">
        <f t="shared" si="4"/>
        <v>0</v>
      </c>
      <c r="G64" s="147">
        <f>C64-E64</f>
        <v>0</v>
      </c>
      <c r="H64" s="147"/>
      <c r="I64" s="147"/>
      <c r="J64" s="147">
        <f t="shared" si="5"/>
        <v>0</v>
      </c>
      <c r="K64" s="145">
        <f>C64-I64</f>
        <v>0</v>
      </c>
      <c r="L64" s="147"/>
    </row>
    <row r="65" spans="1:12" ht="12.75">
      <c r="A65" s="64" t="s">
        <v>262</v>
      </c>
      <c r="B65" s="147">
        <f>SUM(B66:B71)</f>
        <v>24945900</v>
      </c>
      <c r="C65" s="147">
        <f>SUM(C66:C71)</f>
        <v>26544913.4</v>
      </c>
      <c r="D65" s="147">
        <f>SUM(D66:D71)</f>
        <v>3086865.9600000004</v>
      </c>
      <c r="E65" s="147">
        <f>SUM(E66:E71)</f>
        <v>12717933.98</v>
      </c>
      <c r="F65" s="147">
        <f t="shared" si="4"/>
        <v>2.3603977386002133</v>
      </c>
      <c r="G65" s="147">
        <f>SUM(G66:G71)</f>
        <v>13826979.419999998</v>
      </c>
      <c r="H65" s="147">
        <f>SUM(H66:H71)</f>
        <v>3583183.65</v>
      </c>
      <c r="I65" s="147">
        <f>SUM(I66:I71)</f>
        <v>7359768.16</v>
      </c>
      <c r="J65" s="147">
        <f t="shared" si="5"/>
        <v>2.224394034296096</v>
      </c>
      <c r="K65" s="145">
        <f>SUM(K66:K71)</f>
        <v>19185145.24</v>
      </c>
      <c r="L65" s="147">
        <f>SUM(L66:L71)</f>
        <v>0</v>
      </c>
    </row>
    <row r="66" spans="1:12" ht="12.75">
      <c r="A66" s="65" t="s">
        <v>387</v>
      </c>
      <c r="B66" s="147">
        <v>26250</v>
      </c>
      <c r="C66" s="147">
        <v>26250</v>
      </c>
      <c r="D66" s="147">
        <v>0</v>
      </c>
      <c r="E66" s="147">
        <v>0</v>
      </c>
      <c r="F66" s="147">
        <f t="shared" si="4"/>
        <v>0</v>
      </c>
      <c r="G66" s="147">
        <f aca="true" t="shared" si="6" ref="G66:G71">C66-E66</f>
        <v>26250</v>
      </c>
      <c r="H66" s="147">
        <v>0</v>
      </c>
      <c r="I66" s="147">
        <v>0</v>
      </c>
      <c r="J66" s="147">
        <f t="shared" si="5"/>
        <v>0</v>
      </c>
      <c r="K66" s="145">
        <f aca="true" t="shared" si="7" ref="K66:K71">C66-I66</f>
        <v>26250</v>
      </c>
      <c r="L66" s="147"/>
    </row>
    <row r="67" spans="1:12" ht="12.75">
      <c r="A67" s="65" t="s">
        <v>388</v>
      </c>
      <c r="B67" s="147">
        <v>200</v>
      </c>
      <c r="C67" s="147">
        <v>200</v>
      </c>
      <c r="D67" s="147">
        <v>0</v>
      </c>
      <c r="E67" s="147">
        <v>0</v>
      </c>
      <c r="F67" s="147">
        <f t="shared" si="4"/>
        <v>0</v>
      </c>
      <c r="G67" s="147">
        <f t="shared" si="6"/>
        <v>200</v>
      </c>
      <c r="H67" s="147">
        <v>0</v>
      </c>
      <c r="I67" s="147">
        <v>0</v>
      </c>
      <c r="J67" s="147">
        <f t="shared" si="5"/>
        <v>0</v>
      </c>
      <c r="K67" s="145">
        <f t="shared" si="7"/>
        <v>200</v>
      </c>
      <c r="L67" s="147"/>
    </row>
    <row r="68" spans="1:12" ht="12.75">
      <c r="A68" s="65" t="s">
        <v>389</v>
      </c>
      <c r="B68" s="147">
        <v>1338300</v>
      </c>
      <c r="C68" s="147">
        <v>1338300</v>
      </c>
      <c r="D68" s="147">
        <v>5054.72</v>
      </c>
      <c r="E68" s="147">
        <v>837627.27</v>
      </c>
      <c r="F68" s="147">
        <f t="shared" si="4"/>
        <v>0.1554602749949069</v>
      </c>
      <c r="G68" s="147">
        <f t="shared" si="6"/>
        <v>500672.73</v>
      </c>
      <c r="H68" s="147">
        <v>7438.85</v>
      </c>
      <c r="I68" s="147">
        <v>803816.53</v>
      </c>
      <c r="J68" s="147">
        <f t="shared" si="5"/>
        <v>0.24294307308731702</v>
      </c>
      <c r="K68" s="145">
        <f t="shared" si="7"/>
        <v>534483.47</v>
      </c>
      <c r="L68" s="147"/>
    </row>
    <row r="69" spans="1:12" ht="12.75">
      <c r="A69" s="65" t="s">
        <v>390</v>
      </c>
      <c r="B69" s="147">
        <v>23581150</v>
      </c>
      <c r="C69" s="147">
        <v>25180163.4</v>
      </c>
      <c r="D69" s="147">
        <v>3081811.24</v>
      </c>
      <c r="E69" s="147">
        <v>11880306.71</v>
      </c>
      <c r="F69" s="147">
        <f t="shared" si="4"/>
        <v>2.2049374636053067</v>
      </c>
      <c r="G69" s="147">
        <f t="shared" si="6"/>
        <v>13299856.689999998</v>
      </c>
      <c r="H69" s="147">
        <v>3575744.8</v>
      </c>
      <c r="I69" s="147">
        <v>6555951.63</v>
      </c>
      <c r="J69" s="147">
        <f t="shared" si="5"/>
        <v>1.9814509612087787</v>
      </c>
      <c r="K69" s="145">
        <f t="shared" si="7"/>
        <v>18624211.77</v>
      </c>
      <c r="L69" s="147"/>
    </row>
    <row r="70" spans="1:12" ht="12.75">
      <c r="A70" s="65" t="s">
        <v>369</v>
      </c>
      <c r="B70" s="147"/>
      <c r="C70" s="147"/>
      <c r="D70" s="147"/>
      <c r="E70" s="147"/>
      <c r="F70" s="147">
        <f t="shared" si="4"/>
        <v>0</v>
      </c>
      <c r="G70" s="147">
        <f t="shared" si="6"/>
        <v>0</v>
      </c>
      <c r="H70" s="147"/>
      <c r="I70" s="147"/>
      <c r="J70" s="147">
        <f t="shared" si="5"/>
        <v>0</v>
      </c>
      <c r="K70" s="145">
        <f t="shared" si="7"/>
        <v>0</v>
      </c>
      <c r="L70" s="147"/>
    </row>
    <row r="71" spans="1:12" ht="12.75">
      <c r="A71" s="65" t="s">
        <v>363</v>
      </c>
      <c r="B71" s="147"/>
      <c r="C71" s="147"/>
      <c r="D71" s="147"/>
      <c r="E71" s="147"/>
      <c r="F71" s="147">
        <f t="shared" si="4"/>
        <v>0</v>
      </c>
      <c r="G71" s="147">
        <f t="shared" si="6"/>
        <v>0</v>
      </c>
      <c r="H71" s="147"/>
      <c r="I71" s="147"/>
      <c r="J71" s="147">
        <f t="shared" si="5"/>
        <v>0</v>
      </c>
      <c r="K71" s="145">
        <f t="shared" si="7"/>
        <v>0</v>
      </c>
      <c r="L71" s="147"/>
    </row>
    <row r="72" spans="1:12" ht="12.75">
      <c r="A72" s="64" t="s">
        <v>263</v>
      </c>
      <c r="B72" s="147">
        <f>SUM(B73:B78)</f>
        <v>90995000</v>
      </c>
      <c r="C72" s="147">
        <f>SUM(C73:C78)</f>
        <v>90995000</v>
      </c>
      <c r="D72" s="147">
        <f>SUM(D73:D78)</f>
        <v>12464030.06</v>
      </c>
      <c r="E72" s="147">
        <f>SUM(E73:E78)</f>
        <v>24753872.35</v>
      </c>
      <c r="F72" s="147">
        <f t="shared" si="4"/>
        <v>4.594219816553754</v>
      </c>
      <c r="G72" s="147">
        <f>SUM(G73:G78)</f>
        <v>66241127.65</v>
      </c>
      <c r="H72" s="147">
        <f>SUM(H73:H78)</f>
        <v>12450972.66</v>
      </c>
      <c r="I72" s="147">
        <f>SUM(I73:I78)</f>
        <v>24312567.81</v>
      </c>
      <c r="J72" s="147">
        <f t="shared" si="5"/>
        <v>7.348156846693836</v>
      </c>
      <c r="K72" s="145">
        <f>SUM(K73:K78)</f>
        <v>66682432.19</v>
      </c>
      <c r="L72" s="147">
        <f>SUM(L73:L78)</f>
        <v>0</v>
      </c>
    </row>
    <row r="73" spans="1:12" ht="12.75">
      <c r="A73" s="65" t="s">
        <v>391</v>
      </c>
      <c r="B73" s="147"/>
      <c r="C73" s="147"/>
      <c r="D73" s="147"/>
      <c r="E73" s="147"/>
      <c r="F73" s="147">
        <f t="shared" si="4"/>
        <v>0</v>
      </c>
      <c r="G73" s="147">
        <f aca="true" t="shared" si="8" ref="G73:G78">C73-E73</f>
        <v>0</v>
      </c>
      <c r="H73" s="147"/>
      <c r="I73" s="147"/>
      <c r="J73" s="147">
        <f t="shared" si="5"/>
        <v>0</v>
      </c>
      <c r="K73" s="145">
        <f aca="true" t="shared" si="9" ref="K73:K78">C73-I73</f>
        <v>0</v>
      </c>
      <c r="L73" s="147"/>
    </row>
    <row r="74" spans="1:12" ht="12.75">
      <c r="A74" s="65" t="s">
        <v>392</v>
      </c>
      <c r="B74" s="147">
        <v>90995000</v>
      </c>
      <c r="C74" s="147">
        <v>90995000</v>
      </c>
      <c r="D74" s="147">
        <v>12464030.06</v>
      </c>
      <c r="E74" s="147">
        <v>24753872.35</v>
      </c>
      <c r="F74" s="147">
        <f t="shared" si="4"/>
        <v>4.594219816553754</v>
      </c>
      <c r="G74" s="147">
        <f t="shared" si="8"/>
        <v>66241127.65</v>
      </c>
      <c r="H74" s="147">
        <v>12450972.66</v>
      </c>
      <c r="I74" s="147">
        <v>24312567.81</v>
      </c>
      <c r="J74" s="147">
        <f t="shared" si="5"/>
        <v>7.348156846693836</v>
      </c>
      <c r="K74" s="145">
        <f t="shared" si="9"/>
        <v>66682432.19</v>
      </c>
      <c r="L74" s="147"/>
    </row>
    <row r="75" spans="1:12" ht="12.75">
      <c r="A75" s="65" t="s">
        <v>393</v>
      </c>
      <c r="B75" s="147"/>
      <c r="C75" s="147"/>
      <c r="D75" s="147"/>
      <c r="E75" s="147"/>
      <c r="F75" s="147">
        <f t="shared" si="4"/>
        <v>0</v>
      </c>
      <c r="G75" s="147">
        <f t="shared" si="8"/>
        <v>0</v>
      </c>
      <c r="H75" s="147"/>
      <c r="I75" s="147"/>
      <c r="J75" s="147">
        <f t="shared" si="5"/>
        <v>0</v>
      </c>
      <c r="K75" s="145">
        <f t="shared" si="9"/>
        <v>0</v>
      </c>
      <c r="L75" s="147"/>
    </row>
    <row r="76" spans="1:12" ht="12.75">
      <c r="A76" s="65" t="s">
        <v>394</v>
      </c>
      <c r="B76" s="147"/>
      <c r="C76" s="147"/>
      <c r="D76" s="147"/>
      <c r="E76" s="147"/>
      <c r="F76" s="147">
        <f t="shared" si="4"/>
        <v>0</v>
      </c>
      <c r="G76" s="147">
        <f t="shared" si="8"/>
        <v>0</v>
      </c>
      <c r="H76" s="147"/>
      <c r="I76" s="147"/>
      <c r="J76" s="147">
        <f t="shared" si="5"/>
        <v>0</v>
      </c>
      <c r="K76" s="145">
        <f t="shared" si="9"/>
        <v>0</v>
      </c>
      <c r="L76" s="147"/>
    </row>
    <row r="77" spans="1:12" ht="12.75">
      <c r="A77" s="65" t="s">
        <v>369</v>
      </c>
      <c r="B77" s="147"/>
      <c r="C77" s="147"/>
      <c r="D77" s="147"/>
      <c r="E77" s="147"/>
      <c r="F77" s="147">
        <f t="shared" si="4"/>
        <v>0</v>
      </c>
      <c r="G77" s="147">
        <f t="shared" si="8"/>
        <v>0</v>
      </c>
      <c r="H77" s="147"/>
      <c r="I77" s="147"/>
      <c r="J77" s="147">
        <f t="shared" si="5"/>
        <v>0</v>
      </c>
      <c r="K77" s="145">
        <f t="shared" si="9"/>
        <v>0</v>
      </c>
      <c r="L77" s="147"/>
    </row>
    <row r="78" spans="1:12" ht="12.75">
      <c r="A78" s="65" t="s">
        <v>363</v>
      </c>
      <c r="B78" s="147"/>
      <c r="C78" s="147"/>
      <c r="D78" s="147"/>
      <c r="E78" s="147"/>
      <c r="F78" s="147">
        <f t="shared" si="4"/>
        <v>0</v>
      </c>
      <c r="G78" s="147">
        <f t="shared" si="8"/>
        <v>0</v>
      </c>
      <c r="H78" s="147"/>
      <c r="I78" s="147"/>
      <c r="J78" s="147">
        <f t="shared" si="5"/>
        <v>0</v>
      </c>
      <c r="K78" s="145">
        <f t="shared" si="9"/>
        <v>0</v>
      </c>
      <c r="L78" s="147"/>
    </row>
    <row r="79" spans="1:12" ht="12.75">
      <c r="A79" s="64" t="s">
        <v>264</v>
      </c>
      <c r="B79" s="147">
        <f>SUM(B80:B87)</f>
        <v>256142200</v>
      </c>
      <c r="C79" s="147">
        <f>SUM(C80:C87)</f>
        <v>277988123.98999995</v>
      </c>
      <c r="D79" s="147">
        <f>SUM(D80:D87)</f>
        <v>36397841.74</v>
      </c>
      <c r="E79" s="147">
        <f>SUM(E80:E87)</f>
        <v>131237801.44</v>
      </c>
      <c r="F79" s="147">
        <f t="shared" si="4"/>
        <v>24.357211652850538</v>
      </c>
      <c r="G79" s="147">
        <f>SUM(G80:G87)</f>
        <v>146750322.54999998</v>
      </c>
      <c r="H79" s="147">
        <f>SUM(H80:H87)</f>
        <v>48454097.16</v>
      </c>
      <c r="I79" s="147">
        <f>SUM(I80:I87)</f>
        <v>80783046.75</v>
      </c>
      <c r="J79" s="147">
        <f t="shared" si="5"/>
        <v>24.415623339820343</v>
      </c>
      <c r="K79" s="145">
        <f>SUM(K80:K87)</f>
        <v>197205077.24</v>
      </c>
      <c r="L79" s="147">
        <f>SUM(L80:L87)</f>
        <v>0</v>
      </c>
    </row>
    <row r="80" spans="1:12" ht="12.75">
      <c r="A80" s="65" t="s">
        <v>209</v>
      </c>
      <c r="B80" s="147">
        <v>38817000</v>
      </c>
      <c r="C80" s="147">
        <v>42109110.86</v>
      </c>
      <c r="D80" s="147">
        <v>6568173.94</v>
      </c>
      <c r="E80" s="147">
        <v>14195577.95</v>
      </c>
      <c r="F80" s="147">
        <f t="shared" si="4"/>
        <v>2.6346425562513454</v>
      </c>
      <c r="G80" s="147">
        <f aca="true" t="shared" si="10" ref="G80:G87">C80-E80</f>
        <v>27913532.91</v>
      </c>
      <c r="H80" s="147">
        <v>6519194.85</v>
      </c>
      <c r="I80" s="147">
        <v>12634366.94</v>
      </c>
      <c r="J80" s="147">
        <f t="shared" si="5"/>
        <v>3.8185727916249768</v>
      </c>
      <c r="K80" s="145">
        <f aca="true" t="shared" si="11" ref="K80:K87">C80-I80</f>
        <v>29474743.92</v>
      </c>
      <c r="L80" s="147"/>
    </row>
    <row r="81" spans="1:12" ht="12.75">
      <c r="A81" s="65" t="s">
        <v>210</v>
      </c>
      <c r="B81" s="147">
        <v>142402000</v>
      </c>
      <c r="C81" s="147">
        <v>155487133.42</v>
      </c>
      <c r="D81" s="147">
        <v>15671210.21</v>
      </c>
      <c r="E81" s="147">
        <v>86379808.53</v>
      </c>
      <c r="F81" s="147">
        <f t="shared" si="4"/>
        <v>16.031747376230005</v>
      </c>
      <c r="G81" s="147">
        <f t="shared" si="10"/>
        <v>69107324.88999999</v>
      </c>
      <c r="H81" s="147">
        <v>27754628.84</v>
      </c>
      <c r="I81" s="147">
        <v>43089129.33</v>
      </c>
      <c r="J81" s="147">
        <f t="shared" si="5"/>
        <v>13.023127922098151</v>
      </c>
      <c r="K81" s="145">
        <f t="shared" si="11"/>
        <v>112398004.08999999</v>
      </c>
      <c r="L81" s="147"/>
    </row>
    <row r="82" spans="1:12" ht="12.75">
      <c r="A82" s="65" t="s">
        <v>211</v>
      </c>
      <c r="B82" s="147">
        <v>12459000</v>
      </c>
      <c r="C82" s="147">
        <v>13298959.79</v>
      </c>
      <c r="D82" s="147">
        <v>4514767.5</v>
      </c>
      <c r="E82" s="147">
        <v>7583026</v>
      </c>
      <c r="F82" s="147">
        <f t="shared" si="4"/>
        <v>1.4073793314459886</v>
      </c>
      <c r="G82" s="147">
        <f t="shared" si="10"/>
        <v>5715933.789999999</v>
      </c>
      <c r="H82" s="147">
        <v>3755397.21</v>
      </c>
      <c r="I82" s="147">
        <v>5646150.95</v>
      </c>
      <c r="J82" s="147">
        <f t="shared" si="5"/>
        <v>1.7064755596751344</v>
      </c>
      <c r="K82" s="145">
        <f t="shared" si="11"/>
        <v>7652808.839999999</v>
      </c>
      <c r="L82" s="147"/>
    </row>
    <row r="83" spans="1:12" ht="12.75">
      <c r="A83" s="65" t="s">
        <v>212</v>
      </c>
      <c r="B83" s="147">
        <v>2271000</v>
      </c>
      <c r="C83" s="147">
        <v>2753733.89</v>
      </c>
      <c r="D83" s="147">
        <v>329311.37</v>
      </c>
      <c r="E83" s="147">
        <v>694464.34</v>
      </c>
      <c r="F83" s="147">
        <f aca="true" t="shared" si="12" ref="F83:F114">IF($E$213&gt;0,E83/$E$213,0)*100</f>
        <v>0.1288898071221541</v>
      </c>
      <c r="G83" s="147">
        <f t="shared" si="10"/>
        <v>2059269.5500000003</v>
      </c>
      <c r="H83" s="147">
        <v>329311.37</v>
      </c>
      <c r="I83" s="147">
        <v>694464.34</v>
      </c>
      <c r="J83" s="147">
        <f aca="true" t="shared" si="13" ref="J83:J114">IF($I$213&gt;0,I83/$I$213,0)*100</f>
        <v>0.2098927984339354</v>
      </c>
      <c r="K83" s="145">
        <f t="shared" si="11"/>
        <v>2059269.5500000003</v>
      </c>
      <c r="L83" s="147"/>
    </row>
    <row r="84" spans="1:12" ht="12.75">
      <c r="A84" s="65" t="s">
        <v>213</v>
      </c>
      <c r="B84" s="147">
        <v>3502000</v>
      </c>
      <c r="C84" s="147">
        <v>5018256.03</v>
      </c>
      <c r="D84" s="147">
        <v>505054.29</v>
      </c>
      <c r="E84" s="147">
        <v>1455371.46</v>
      </c>
      <c r="F84" s="147">
        <f t="shared" si="12"/>
        <v>0.2701111287737075</v>
      </c>
      <c r="G84" s="147">
        <f t="shared" si="10"/>
        <v>3562884.5700000003</v>
      </c>
      <c r="H84" s="147">
        <v>644259.59</v>
      </c>
      <c r="I84" s="147">
        <v>1150845.75</v>
      </c>
      <c r="J84" s="147">
        <f t="shared" si="13"/>
        <v>0.34782813331106566</v>
      </c>
      <c r="K84" s="145">
        <f t="shared" si="11"/>
        <v>3867410.2800000003</v>
      </c>
      <c r="L84" s="147"/>
    </row>
    <row r="85" spans="1:12" ht="12.75">
      <c r="A85" s="65" t="s">
        <v>214</v>
      </c>
      <c r="B85" s="147"/>
      <c r="C85" s="147"/>
      <c r="D85" s="147"/>
      <c r="E85" s="147"/>
      <c r="F85" s="147">
        <f t="shared" si="12"/>
        <v>0</v>
      </c>
      <c r="G85" s="147">
        <f t="shared" si="10"/>
        <v>0</v>
      </c>
      <c r="H85" s="147"/>
      <c r="I85" s="147"/>
      <c r="J85" s="147">
        <f t="shared" si="13"/>
        <v>0</v>
      </c>
      <c r="K85" s="145">
        <f t="shared" si="11"/>
        <v>0</v>
      </c>
      <c r="L85" s="147"/>
    </row>
    <row r="86" spans="1:12" ht="12.75">
      <c r="A86" s="65" t="s">
        <v>369</v>
      </c>
      <c r="B86" s="147">
        <v>56691200</v>
      </c>
      <c r="C86" s="147">
        <v>59320930</v>
      </c>
      <c r="D86" s="147">
        <v>8809324.43</v>
      </c>
      <c r="E86" s="147">
        <v>20929553.16</v>
      </c>
      <c r="F86" s="147">
        <f t="shared" si="12"/>
        <v>3.8844414530273372</v>
      </c>
      <c r="G86" s="147">
        <f t="shared" si="10"/>
        <v>38391376.84</v>
      </c>
      <c r="H86" s="147">
        <v>9451305.3</v>
      </c>
      <c r="I86" s="147">
        <v>17568089.44</v>
      </c>
      <c r="J86" s="147">
        <f t="shared" si="13"/>
        <v>5.30972613467708</v>
      </c>
      <c r="K86" s="145">
        <f t="shared" si="11"/>
        <v>41752840.56</v>
      </c>
      <c r="L86" s="147"/>
    </row>
    <row r="87" spans="1:12" ht="12.75">
      <c r="A87" s="65" t="s">
        <v>363</v>
      </c>
      <c r="B87" s="147"/>
      <c r="C87" s="147"/>
      <c r="D87" s="147"/>
      <c r="E87" s="147"/>
      <c r="F87" s="147">
        <f t="shared" si="12"/>
        <v>0</v>
      </c>
      <c r="G87" s="147">
        <f t="shared" si="10"/>
        <v>0</v>
      </c>
      <c r="H87" s="147"/>
      <c r="I87" s="147"/>
      <c r="J87" s="147">
        <f t="shared" si="13"/>
        <v>0</v>
      </c>
      <c r="K87" s="145">
        <f t="shared" si="11"/>
        <v>0</v>
      </c>
      <c r="L87" s="147"/>
    </row>
    <row r="88" spans="1:12" ht="12.75">
      <c r="A88" s="64" t="s">
        <v>265</v>
      </c>
      <c r="B88" s="147">
        <f>SUM(B89:B94)</f>
        <v>0</v>
      </c>
      <c r="C88" s="147">
        <f>SUM(C89:C94)</f>
        <v>0</v>
      </c>
      <c r="D88" s="147">
        <f>SUM(D89:D94)</f>
        <v>0</v>
      </c>
      <c r="E88" s="147">
        <f>SUM(E89:E94)</f>
        <v>0</v>
      </c>
      <c r="F88" s="147">
        <f t="shared" si="12"/>
        <v>0</v>
      </c>
      <c r="G88" s="147">
        <f>SUM(G89:G94)</f>
        <v>0</v>
      </c>
      <c r="H88" s="147">
        <f>SUM(H89:H94)</f>
        <v>0</v>
      </c>
      <c r="I88" s="147">
        <f>SUM(I89:I94)</f>
        <v>0</v>
      </c>
      <c r="J88" s="147">
        <f t="shared" si="13"/>
        <v>0</v>
      </c>
      <c r="K88" s="145">
        <f>SUM(K89:K94)</f>
        <v>0</v>
      </c>
      <c r="L88" s="147">
        <f>SUM(L89:L94)</f>
        <v>0</v>
      </c>
    </row>
    <row r="89" spans="1:12" ht="12.75">
      <c r="A89" s="65" t="s">
        <v>395</v>
      </c>
      <c r="B89" s="147"/>
      <c r="C89" s="147"/>
      <c r="D89" s="147"/>
      <c r="E89" s="147"/>
      <c r="F89" s="147">
        <f t="shared" si="12"/>
        <v>0</v>
      </c>
      <c r="G89" s="147">
        <f aca="true" t="shared" si="14" ref="G89:G94">C89-E89</f>
        <v>0</v>
      </c>
      <c r="H89" s="147"/>
      <c r="I89" s="147"/>
      <c r="J89" s="147">
        <f t="shared" si="13"/>
        <v>0</v>
      </c>
      <c r="K89" s="145">
        <f aca="true" t="shared" si="15" ref="K89:K94">C89-I89</f>
        <v>0</v>
      </c>
      <c r="L89" s="147"/>
    </row>
    <row r="90" spans="1:12" ht="12.75">
      <c r="A90" s="65" t="s">
        <v>396</v>
      </c>
      <c r="B90" s="147"/>
      <c r="C90" s="147"/>
      <c r="D90" s="147"/>
      <c r="E90" s="147"/>
      <c r="F90" s="147">
        <f t="shared" si="12"/>
        <v>0</v>
      </c>
      <c r="G90" s="147">
        <f t="shared" si="14"/>
        <v>0</v>
      </c>
      <c r="H90" s="147"/>
      <c r="I90" s="147"/>
      <c r="J90" s="147">
        <f t="shared" si="13"/>
        <v>0</v>
      </c>
      <c r="K90" s="145">
        <f t="shared" si="15"/>
        <v>0</v>
      </c>
      <c r="L90" s="147"/>
    </row>
    <row r="91" spans="1:12" ht="12.75">
      <c r="A91" s="65" t="s">
        <v>397</v>
      </c>
      <c r="B91" s="147"/>
      <c r="C91" s="147"/>
      <c r="D91" s="147"/>
      <c r="E91" s="147"/>
      <c r="F91" s="147">
        <f t="shared" si="12"/>
        <v>0</v>
      </c>
      <c r="G91" s="147">
        <f t="shared" si="14"/>
        <v>0</v>
      </c>
      <c r="H91" s="147"/>
      <c r="I91" s="147"/>
      <c r="J91" s="147">
        <f t="shared" si="13"/>
        <v>0</v>
      </c>
      <c r="K91" s="145">
        <f t="shared" si="15"/>
        <v>0</v>
      </c>
      <c r="L91" s="147"/>
    </row>
    <row r="92" spans="1:12" ht="12.75">
      <c r="A92" s="65" t="s">
        <v>398</v>
      </c>
      <c r="B92" s="147"/>
      <c r="C92" s="147"/>
      <c r="D92" s="147"/>
      <c r="E92" s="147"/>
      <c r="F92" s="147">
        <f t="shared" si="12"/>
        <v>0</v>
      </c>
      <c r="G92" s="147">
        <f t="shared" si="14"/>
        <v>0</v>
      </c>
      <c r="H92" s="147"/>
      <c r="I92" s="147"/>
      <c r="J92" s="147">
        <f t="shared" si="13"/>
        <v>0</v>
      </c>
      <c r="K92" s="145">
        <f t="shared" si="15"/>
        <v>0</v>
      </c>
      <c r="L92" s="147"/>
    </row>
    <row r="93" spans="1:12" ht="12.75">
      <c r="A93" s="65" t="s">
        <v>369</v>
      </c>
      <c r="B93" s="147"/>
      <c r="C93" s="147"/>
      <c r="D93" s="147"/>
      <c r="E93" s="147"/>
      <c r="F93" s="147">
        <f t="shared" si="12"/>
        <v>0</v>
      </c>
      <c r="G93" s="147">
        <f t="shared" si="14"/>
        <v>0</v>
      </c>
      <c r="H93" s="147"/>
      <c r="I93" s="147"/>
      <c r="J93" s="147">
        <f t="shared" si="13"/>
        <v>0</v>
      </c>
      <c r="K93" s="145">
        <f t="shared" si="15"/>
        <v>0</v>
      </c>
      <c r="L93" s="147"/>
    </row>
    <row r="94" spans="1:12" ht="12.75">
      <c r="A94" s="65" t="s">
        <v>363</v>
      </c>
      <c r="B94" s="147"/>
      <c r="C94" s="147"/>
      <c r="D94" s="147"/>
      <c r="E94" s="147"/>
      <c r="F94" s="147">
        <f t="shared" si="12"/>
        <v>0</v>
      </c>
      <c r="G94" s="147">
        <f t="shared" si="14"/>
        <v>0</v>
      </c>
      <c r="H94" s="147"/>
      <c r="I94" s="147"/>
      <c r="J94" s="147">
        <f t="shared" si="13"/>
        <v>0</v>
      </c>
      <c r="K94" s="145">
        <f t="shared" si="15"/>
        <v>0</v>
      </c>
      <c r="L94" s="147"/>
    </row>
    <row r="95" spans="1:12" ht="12.75">
      <c r="A95" s="64" t="s">
        <v>266</v>
      </c>
      <c r="B95" s="147">
        <f>SUM(B96:B105)</f>
        <v>237358005</v>
      </c>
      <c r="C95" s="147">
        <f>SUM(C96:C105)</f>
        <v>269487032.02</v>
      </c>
      <c r="D95" s="147">
        <f>SUM(D96:D105)</f>
        <v>23881172.939999998</v>
      </c>
      <c r="E95" s="147">
        <f>SUM(E96:E105)</f>
        <v>118958363.33</v>
      </c>
      <c r="F95" s="147">
        <f t="shared" si="12"/>
        <v>22.07819699593334</v>
      </c>
      <c r="G95" s="147">
        <f>SUM(G96:G105)</f>
        <v>150528668.69</v>
      </c>
      <c r="H95" s="147">
        <f>SUM(H96:H105)</f>
        <v>37195429.410000004</v>
      </c>
      <c r="I95" s="147">
        <f>SUM(I96:I105)</f>
        <v>70725733.97</v>
      </c>
      <c r="J95" s="147">
        <f t="shared" si="13"/>
        <v>21.37593159104087</v>
      </c>
      <c r="K95" s="145">
        <f>SUM(K96:K105)</f>
        <v>198761298.05</v>
      </c>
      <c r="L95" s="147">
        <f>SUM(L96:L105)</f>
        <v>0</v>
      </c>
    </row>
    <row r="96" spans="1:12" ht="12.75">
      <c r="A96" s="65" t="s">
        <v>399</v>
      </c>
      <c r="B96" s="147">
        <v>117029050</v>
      </c>
      <c r="C96" s="147">
        <v>135011971.34</v>
      </c>
      <c r="D96" s="147">
        <v>12338931.42</v>
      </c>
      <c r="E96" s="147">
        <v>50655672.64</v>
      </c>
      <c r="F96" s="147">
        <f t="shared" si="12"/>
        <v>9.401490472804664</v>
      </c>
      <c r="G96" s="147">
        <f aca="true" t="shared" si="16" ref="G96:G105">C96-E96</f>
        <v>84356298.7</v>
      </c>
      <c r="H96" s="147">
        <v>17828261.96</v>
      </c>
      <c r="I96" s="147">
        <v>32782345.74</v>
      </c>
      <c r="J96" s="147">
        <f t="shared" si="13"/>
        <v>9.908036871407106</v>
      </c>
      <c r="K96" s="145">
        <f aca="true" t="shared" si="17" ref="K96:K105">C96-I96</f>
        <v>102229625.60000001</v>
      </c>
      <c r="L96" s="147"/>
    </row>
    <row r="97" spans="1:12" ht="12.75">
      <c r="A97" s="65" t="s">
        <v>400</v>
      </c>
      <c r="B97" s="147">
        <v>7143000</v>
      </c>
      <c r="C97" s="147">
        <v>8151662</v>
      </c>
      <c r="D97" s="147">
        <v>125918.42</v>
      </c>
      <c r="E97" s="147">
        <v>3338287.32</v>
      </c>
      <c r="F97" s="147">
        <f t="shared" si="12"/>
        <v>0.6195727901495024</v>
      </c>
      <c r="G97" s="147">
        <f t="shared" si="16"/>
        <v>4813374.68</v>
      </c>
      <c r="H97" s="147">
        <v>670140.42</v>
      </c>
      <c r="I97" s="147">
        <v>1005370.41</v>
      </c>
      <c r="J97" s="147">
        <f t="shared" si="13"/>
        <v>0.3038601072267771</v>
      </c>
      <c r="K97" s="145">
        <f t="shared" si="17"/>
        <v>7146291.59</v>
      </c>
      <c r="L97" s="147"/>
    </row>
    <row r="98" spans="1:12" ht="12.75">
      <c r="A98" s="65" t="s">
        <v>401</v>
      </c>
      <c r="B98" s="147">
        <v>8615000</v>
      </c>
      <c r="C98" s="147">
        <v>12951000</v>
      </c>
      <c r="D98" s="147">
        <v>2312376.85</v>
      </c>
      <c r="E98" s="147">
        <v>5095623.39</v>
      </c>
      <c r="F98" s="147">
        <f t="shared" si="12"/>
        <v>0.9457273441919812</v>
      </c>
      <c r="G98" s="147">
        <f t="shared" si="16"/>
        <v>7855376.61</v>
      </c>
      <c r="H98" s="147">
        <v>2062910.87</v>
      </c>
      <c r="I98" s="147">
        <v>3969670.24</v>
      </c>
      <c r="J98" s="147">
        <f t="shared" si="13"/>
        <v>1.1997811083194163</v>
      </c>
      <c r="K98" s="145">
        <f t="shared" si="17"/>
        <v>8981329.76</v>
      </c>
      <c r="L98" s="147"/>
    </row>
    <row r="99" spans="1:12" ht="12.75">
      <c r="A99" s="65" t="s">
        <v>402</v>
      </c>
      <c r="B99" s="147">
        <v>85000</v>
      </c>
      <c r="C99" s="147">
        <v>85000</v>
      </c>
      <c r="D99" s="147">
        <v>23026.66</v>
      </c>
      <c r="E99" s="147">
        <v>36851.83</v>
      </c>
      <c r="F99" s="147">
        <f t="shared" si="12"/>
        <v>0.0068395524251085565</v>
      </c>
      <c r="G99" s="147">
        <f t="shared" si="16"/>
        <v>48148.17</v>
      </c>
      <c r="H99" s="147">
        <v>23026.66</v>
      </c>
      <c r="I99" s="147">
        <v>36851.83</v>
      </c>
      <c r="J99" s="147">
        <f t="shared" si="13"/>
        <v>0.011137985466772353</v>
      </c>
      <c r="K99" s="145">
        <f t="shared" si="17"/>
        <v>48148.17</v>
      </c>
      <c r="L99" s="147"/>
    </row>
    <row r="100" spans="1:12" ht="12.75">
      <c r="A100" s="65" t="s">
        <v>403</v>
      </c>
      <c r="B100" s="147">
        <v>99966900</v>
      </c>
      <c r="C100" s="147">
        <v>108758099.68</v>
      </c>
      <c r="D100" s="147">
        <v>8844273.51</v>
      </c>
      <c r="E100" s="147">
        <v>57398412.07</v>
      </c>
      <c r="F100" s="147">
        <f t="shared" si="12"/>
        <v>10.652915973799637</v>
      </c>
      <c r="G100" s="147">
        <f t="shared" si="16"/>
        <v>51359687.61000001</v>
      </c>
      <c r="H100" s="147">
        <v>16163886.5</v>
      </c>
      <c r="I100" s="147">
        <v>31996865.09</v>
      </c>
      <c r="J100" s="147">
        <f t="shared" si="13"/>
        <v>9.670635579147511</v>
      </c>
      <c r="K100" s="145">
        <f t="shared" si="17"/>
        <v>76761234.59</v>
      </c>
      <c r="L100" s="147"/>
    </row>
    <row r="101" spans="1:12" ht="12.75">
      <c r="A101" s="65" t="s">
        <v>404</v>
      </c>
      <c r="B101" s="147">
        <v>1088000</v>
      </c>
      <c r="C101" s="147">
        <v>1098244</v>
      </c>
      <c r="D101" s="147">
        <v>50471.08</v>
      </c>
      <c r="E101" s="147">
        <v>138748.47</v>
      </c>
      <c r="F101" s="147">
        <f t="shared" si="12"/>
        <v>0.02575116173250017</v>
      </c>
      <c r="G101" s="147">
        <f t="shared" si="16"/>
        <v>959495.53</v>
      </c>
      <c r="H101" s="147">
        <v>79613.77</v>
      </c>
      <c r="I101" s="147">
        <v>120718.86</v>
      </c>
      <c r="J101" s="147">
        <f t="shared" si="13"/>
        <v>0.03648570256199831</v>
      </c>
      <c r="K101" s="145">
        <f t="shared" si="17"/>
        <v>977525.14</v>
      </c>
      <c r="L101" s="147"/>
    </row>
    <row r="102" spans="1:12" ht="12.75">
      <c r="A102" s="65" t="s">
        <v>405</v>
      </c>
      <c r="B102" s="147">
        <v>3431055</v>
      </c>
      <c r="C102" s="147">
        <v>3431055</v>
      </c>
      <c r="D102" s="147">
        <v>186175</v>
      </c>
      <c r="E102" s="147">
        <v>2294767.61</v>
      </c>
      <c r="F102" s="147">
        <f t="shared" si="12"/>
        <v>0.42589970082994694</v>
      </c>
      <c r="G102" s="147">
        <f t="shared" si="16"/>
        <v>1136287.3900000001</v>
      </c>
      <c r="H102" s="147">
        <v>367589.23</v>
      </c>
      <c r="I102" s="147">
        <v>813911.8</v>
      </c>
      <c r="J102" s="147">
        <f t="shared" si="13"/>
        <v>0.2459942369112884</v>
      </c>
      <c r="K102" s="145">
        <f t="shared" si="17"/>
        <v>2617143.2</v>
      </c>
      <c r="L102" s="147"/>
    </row>
    <row r="103" spans="1:12" ht="12.75">
      <c r="A103" s="65" t="s">
        <v>625</v>
      </c>
      <c r="B103" s="147"/>
      <c r="C103" s="147"/>
      <c r="D103" s="147"/>
      <c r="E103" s="147"/>
      <c r="F103" s="147">
        <f t="shared" si="12"/>
        <v>0</v>
      </c>
      <c r="G103" s="147">
        <f t="shared" si="16"/>
        <v>0</v>
      </c>
      <c r="H103" s="147"/>
      <c r="I103" s="147"/>
      <c r="J103" s="147">
        <f t="shared" si="13"/>
        <v>0</v>
      </c>
      <c r="K103" s="145">
        <f t="shared" si="17"/>
        <v>0</v>
      </c>
      <c r="L103" s="147"/>
    </row>
    <row r="104" spans="1:12" ht="12.75">
      <c r="A104" s="65" t="s">
        <v>369</v>
      </c>
      <c r="B104" s="147"/>
      <c r="C104" s="147"/>
      <c r="D104" s="147"/>
      <c r="E104" s="147"/>
      <c r="F104" s="147">
        <f t="shared" si="12"/>
        <v>0</v>
      </c>
      <c r="G104" s="147">
        <f t="shared" si="16"/>
        <v>0</v>
      </c>
      <c r="H104" s="147"/>
      <c r="I104" s="147"/>
      <c r="J104" s="147">
        <f t="shared" si="13"/>
        <v>0</v>
      </c>
      <c r="K104" s="145">
        <f t="shared" si="17"/>
        <v>0</v>
      </c>
      <c r="L104" s="147"/>
    </row>
    <row r="105" spans="1:12" ht="12.75">
      <c r="A105" s="65" t="s">
        <v>363</v>
      </c>
      <c r="B105" s="147"/>
      <c r="C105" s="147"/>
      <c r="D105" s="147"/>
      <c r="E105" s="147"/>
      <c r="F105" s="147">
        <f t="shared" si="12"/>
        <v>0</v>
      </c>
      <c r="G105" s="147">
        <f t="shared" si="16"/>
        <v>0</v>
      </c>
      <c r="H105" s="147"/>
      <c r="I105" s="147"/>
      <c r="J105" s="147">
        <f t="shared" si="13"/>
        <v>0</v>
      </c>
      <c r="K105" s="145">
        <f t="shared" si="17"/>
        <v>0</v>
      </c>
      <c r="L105" s="147"/>
    </row>
    <row r="106" spans="1:12" ht="12.75">
      <c r="A106" s="64" t="s">
        <v>267</v>
      </c>
      <c r="B106" s="147">
        <f>SUM(B107:B110)</f>
        <v>10877000</v>
      </c>
      <c r="C106" s="147">
        <f>SUM(C107:C110)</f>
        <v>11077000</v>
      </c>
      <c r="D106" s="147">
        <f>SUM(D107:D110)</f>
        <v>1255709.03</v>
      </c>
      <c r="E106" s="147">
        <f>SUM(E107:E110)</f>
        <v>4296687.62</v>
      </c>
      <c r="F106" s="147">
        <f t="shared" si="12"/>
        <v>0.7974480570247097</v>
      </c>
      <c r="G106" s="147">
        <f>SUM(G107:G110)</f>
        <v>6780312.38</v>
      </c>
      <c r="H106" s="147">
        <f>SUM(H107:H110)</f>
        <v>1363744.7</v>
      </c>
      <c r="I106" s="147">
        <f>SUM(I107:I110)</f>
        <v>2471993.24</v>
      </c>
      <c r="J106" s="147">
        <f t="shared" si="13"/>
        <v>0.7471277486377068</v>
      </c>
      <c r="K106" s="145">
        <f>SUM(K107:K110)</f>
        <v>8605006.76</v>
      </c>
      <c r="L106" s="147">
        <f>SUM(L107:L110)</f>
        <v>0</v>
      </c>
    </row>
    <row r="107" spans="1:12" ht="12.75">
      <c r="A107" s="65" t="s">
        <v>406</v>
      </c>
      <c r="B107" s="147">
        <v>2490000</v>
      </c>
      <c r="C107" s="147">
        <v>2690000</v>
      </c>
      <c r="D107" s="147">
        <v>453296.89</v>
      </c>
      <c r="E107" s="147">
        <v>1156746.91</v>
      </c>
      <c r="F107" s="147">
        <f t="shared" si="12"/>
        <v>0.21468760529741202</v>
      </c>
      <c r="G107" s="147">
        <f>C107-E107</f>
        <v>1533253.09</v>
      </c>
      <c r="H107" s="147">
        <v>397530.92</v>
      </c>
      <c r="I107" s="147">
        <v>820117.68</v>
      </c>
      <c r="J107" s="147">
        <f t="shared" si="13"/>
        <v>0.2478698832834912</v>
      </c>
      <c r="K107" s="145">
        <f>C107-I107</f>
        <v>1869882.3199999998</v>
      </c>
      <c r="L107" s="147"/>
    </row>
    <row r="108" spans="1:12" ht="12.75">
      <c r="A108" s="65" t="s">
        <v>407</v>
      </c>
      <c r="B108" s="147">
        <v>8387000</v>
      </c>
      <c r="C108" s="147">
        <v>8387000</v>
      </c>
      <c r="D108" s="147">
        <v>802412.14</v>
      </c>
      <c r="E108" s="147">
        <v>3139940.71</v>
      </c>
      <c r="F108" s="147">
        <f t="shared" si="12"/>
        <v>0.5827604517272976</v>
      </c>
      <c r="G108" s="147">
        <f>C108-E108</f>
        <v>5247059.29</v>
      </c>
      <c r="H108" s="147">
        <v>966213.78</v>
      </c>
      <c r="I108" s="147">
        <v>1651875.56</v>
      </c>
      <c r="J108" s="147">
        <f t="shared" si="13"/>
        <v>0.49925786535421557</v>
      </c>
      <c r="K108" s="145">
        <f>C108-I108</f>
        <v>6735124.4399999995</v>
      </c>
      <c r="L108" s="147"/>
    </row>
    <row r="109" spans="1:12" ht="12.75">
      <c r="A109" s="65" t="s">
        <v>369</v>
      </c>
      <c r="B109" s="147"/>
      <c r="C109" s="147"/>
      <c r="D109" s="147"/>
      <c r="E109" s="147"/>
      <c r="F109" s="147">
        <f t="shared" si="12"/>
        <v>0</v>
      </c>
      <c r="G109" s="147">
        <f>C109-E109</f>
        <v>0</v>
      </c>
      <c r="H109" s="147"/>
      <c r="I109" s="147"/>
      <c r="J109" s="147">
        <f t="shared" si="13"/>
        <v>0</v>
      </c>
      <c r="K109" s="145">
        <f>C109-I109</f>
        <v>0</v>
      </c>
      <c r="L109" s="147"/>
    </row>
    <row r="110" spans="1:12" ht="12.75">
      <c r="A110" s="65" t="s">
        <v>363</v>
      </c>
      <c r="B110" s="147"/>
      <c r="C110" s="147"/>
      <c r="D110" s="147"/>
      <c r="E110" s="147"/>
      <c r="F110" s="147">
        <f t="shared" si="12"/>
        <v>0</v>
      </c>
      <c r="G110" s="147">
        <f>C110-E110</f>
        <v>0</v>
      </c>
      <c r="H110" s="147"/>
      <c r="I110" s="147"/>
      <c r="J110" s="147">
        <f t="shared" si="13"/>
        <v>0</v>
      </c>
      <c r="K110" s="145">
        <f>C110-I110</f>
        <v>0</v>
      </c>
      <c r="L110" s="147"/>
    </row>
    <row r="111" spans="1:12" ht="12.75">
      <c r="A111" s="64" t="s">
        <v>268</v>
      </c>
      <c r="B111" s="147">
        <f>SUM(B112:B116)</f>
        <v>0</v>
      </c>
      <c r="C111" s="147">
        <f>SUM(C112:C116)</f>
        <v>0</v>
      </c>
      <c r="D111" s="147">
        <f>SUM(D112:D116)</f>
        <v>0</v>
      </c>
      <c r="E111" s="147">
        <f>SUM(E112:E116)</f>
        <v>0</v>
      </c>
      <c r="F111" s="147">
        <f t="shared" si="12"/>
        <v>0</v>
      </c>
      <c r="G111" s="147">
        <f>SUM(G112:G116)</f>
        <v>0</v>
      </c>
      <c r="H111" s="147">
        <f>SUM(H112:H116)</f>
        <v>0</v>
      </c>
      <c r="I111" s="147">
        <f>SUM(I112:I116)</f>
        <v>0</v>
      </c>
      <c r="J111" s="147">
        <f t="shared" si="13"/>
        <v>0</v>
      </c>
      <c r="K111" s="145">
        <f>SUM(K112:K116)</f>
        <v>0</v>
      </c>
      <c r="L111" s="147">
        <f>SUM(L112:L116)</f>
        <v>0</v>
      </c>
    </row>
    <row r="112" spans="1:12" ht="12.75">
      <c r="A112" s="65" t="s">
        <v>408</v>
      </c>
      <c r="B112" s="147"/>
      <c r="C112" s="147"/>
      <c r="D112" s="147"/>
      <c r="E112" s="147"/>
      <c r="F112" s="147">
        <f t="shared" si="12"/>
        <v>0</v>
      </c>
      <c r="G112" s="147">
        <f>C112-E112</f>
        <v>0</v>
      </c>
      <c r="H112" s="147"/>
      <c r="I112" s="147"/>
      <c r="J112" s="147">
        <f t="shared" si="13"/>
        <v>0</v>
      </c>
      <c r="K112" s="145">
        <f>C112-I112</f>
        <v>0</v>
      </c>
      <c r="L112" s="147"/>
    </row>
    <row r="113" spans="1:12" ht="12.75">
      <c r="A113" s="65" t="s">
        <v>409</v>
      </c>
      <c r="B113" s="147"/>
      <c r="C113" s="147"/>
      <c r="D113" s="147"/>
      <c r="E113" s="147"/>
      <c r="F113" s="147">
        <f t="shared" si="12"/>
        <v>0</v>
      </c>
      <c r="G113" s="147">
        <f>C113-E113</f>
        <v>0</v>
      </c>
      <c r="H113" s="147"/>
      <c r="I113" s="147"/>
      <c r="J113" s="147">
        <f t="shared" si="13"/>
        <v>0</v>
      </c>
      <c r="K113" s="145">
        <f>C113-I113</f>
        <v>0</v>
      </c>
      <c r="L113" s="147"/>
    </row>
    <row r="114" spans="1:12" ht="12.75">
      <c r="A114" s="65" t="s">
        <v>410</v>
      </c>
      <c r="B114" s="147"/>
      <c r="C114" s="147"/>
      <c r="D114" s="147"/>
      <c r="E114" s="147"/>
      <c r="F114" s="147">
        <f t="shared" si="12"/>
        <v>0</v>
      </c>
      <c r="G114" s="147">
        <f>C114-E114</f>
        <v>0</v>
      </c>
      <c r="H114" s="147"/>
      <c r="I114" s="147"/>
      <c r="J114" s="147">
        <f t="shared" si="13"/>
        <v>0</v>
      </c>
      <c r="K114" s="145">
        <f>C114-I114</f>
        <v>0</v>
      </c>
      <c r="L114" s="147"/>
    </row>
    <row r="115" spans="1:12" ht="12.75">
      <c r="A115" s="65" t="s">
        <v>369</v>
      </c>
      <c r="B115" s="147"/>
      <c r="C115" s="147"/>
      <c r="D115" s="147"/>
      <c r="E115" s="147"/>
      <c r="F115" s="147">
        <f aca="true" t="shared" si="18" ref="F115:F146">IF($E$213&gt;0,E115/$E$213,0)*100</f>
        <v>0</v>
      </c>
      <c r="G115" s="147">
        <f>C115-E115</f>
        <v>0</v>
      </c>
      <c r="H115" s="147"/>
      <c r="I115" s="147"/>
      <c r="J115" s="147">
        <f aca="true" t="shared" si="19" ref="J115:J146">IF($I$213&gt;0,I115/$I$213,0)*100</f>
        <v>0</v>
      </c>
      <c r="K115" s="145">
        <f>C115-I115</f>
        <v>0</v>
      </c>
      <c r="L115" s="147"/>
    </row>
    <row r="116" spans="1:12" ht="12.75">
      <c r="A116" s="65" t="s">
        <v>363</v>
      </c>
      <c r="B116" s="147"/>
      <c r="C116" s="147"/>
      <c r="D116" s="147"/>
      <c r="E116" s="147"/>
      <c r="F116" s="147">
        <f t="shared" si="18"/>
        <v>0</v>
      </c>
      <c r="G116" s="147">
        <f>C116-E116</f>
        <v>0</v>
      </c>
      <c r="H116" s="147"/>
      <c r="I116" s="147"/>
      <c r="J116" s="147">
        <f t="shared" si="19"/>
        <v>0</v>
      </c>
      <c r="K116" s="145">
        <f>C116-I116</f>
        <v>0</v>
      </c>
      <c r="L116" s="147"/>
    </row>
    <row r="117" spans="1:12" ht="12.75">
      <c r="A117" s="64" t="s">
        <v>269</v>
      </c>
      <c r="B117" s="147">
        <f>SUM(B118:B122)</f>
        <v>122514000</v>
      </c>
      <c r="C117" s="147">
        <f>SUM(C118:C122)</f>
        <v>131673804.95</v>
      </c>
      <c r="D117" s="147">
        <f>SUM(D118:D122)</f>
        <v>7462509.16</v>
      </c>
      <c r="E117" s="147">
        <f>SUM(E118:E122)</f>
        <v>75972195.35</v>
      </c>
      <c r="F117" s="147">
        <f t="shared" si="18"/>
        <v>14.100135948388814</v>
      </c>
      <c r="G117" s="147">
        <f>SUM(G118:G122)</f>
        <v>55701609.6</v>
      </c>
      <c r="H117" s="147">
        <f>SUM(H118:H122)</f>
        <v>24092168.150000002</v>
      </c>
      <c r="I117" s="147">
        <f>SUM(I118:I122)</f>
        <v>39882515.120000005</v>
      </c>
      <c r="J117" s="147">
        <f t="shared" si="19"/>
        <v>12.053970556818715</v>
      </c>
      <c r="K117" s="145">
        <f>SUM(K118:K122)</f>
        <v>91791289.83000001</v>
      </c>
      <c r="L117" s="147">
        <f>SUM(L118:L122)</f>
        <v>0</v>
      </c>
    </row>
    <row r="118" spans="1:12" ht="12.75">
      <c r="A118" s="65" t="s">
        <v>411</v>
      </c>
      <c r="B118" s="147">
        <v>23107000</v>
      </c>
      <c r="C118" s="147">
        <v>29827804.95</v>
      </c>
      <c r="D118" s="147">
        <v>4177296.16</v>
      </c>
      <c r="E118" s="147">
        <v>16393254.3</v>
      </c>
      <c r="F118" s="147">
        <f t="shared" si="18"/>
        <v>3.0425225071044304</v>
      </c>
      <c r="G118" s="147">
        <f>C118-E118</f>
        <v>13434550.649999999</v>
      </c>
      <c r="H118" s="147">
        <v>4885427.98</v>
      </c>
      <c r="I118" s="147">
        <v>10618485.52</v>
      </c>
      <c r="J118" s="147">
        <f t="shared" si="19"/>
        <v>3.2092988977994485</v>
      </c>
      <c r="K118" s="145">
        <f>C118-I118</f>
        <v>19209319.43</v>
      </c>
      <c r="L118" s="147"/>
    </row>
    <row r="119" spans="1:12" ht="12.75">
      <c r="A119" s="65" t="s">
        <v>412</v>
      </c>
      <c r="B119" s="147">
        <v>95807000</v>
      </c>
      <c r="C119" s="147">
        <v>98246000</v>
      </c>
      <c r="D119" s="147">
        <v>3346976.25</v>
      </c>
      <c r="E119" s="147">
        <v>56150704.3</v>
      </c>
      <c r="F119" s="147">
        <f t="shared" si="18"/>
        <v>10.421346396274442</v>
      </c>
      <c r="G119" s="147">
        <f>C119-E119</f>
        <v>42095295.7</v>
      </c>
      <c r="H119" s="147">
        <v>18801032.17</v>
      </c>
      <c r="I119" s="147">
        <v>28622407.35</v>
      </c>
      <c r="J119" s="147">
        <f t="shared" si="19"/>
        <v>8.650749693796431</v>
      </c>
      <c r="K119" s="145">
        <f>C119-I119</f>
        <v>69623592.65</v>
      </c>
      <c r="L119" s="147"/>
    </row>
    <row r="120" spans="1:12" ht="12.75">
      <c r="A120" s="65" t="s">
        <v>413</v>
      </c>
      <c r="B120" s="147">
        <v>3600000</v>
      </c>
      <c r="C120" s="147">
        <v>3600000</v>
      </c>
      <c r="D120" s="147">
        <v>-61763.25</v>
      </c>
      <c r="E120" s="147">
        <v>3428236.75</v>
      </c>
      <c r="F120" s="147">
        <f t="shared" si="18"/>
        <v>0.636267045009943</v>
      </c>
      <c r="G120" s="147">
        <f>C120-E120</f>
        <v>171763.25</v>
      </c>
      <c r="H120" s="147">
        <v>405708</v>
      </c>
      <c r="I120" s="147">
        <v>641622.25</v>
      </c>
      <c r="J120" s="147">
        <f t="shared" si="19"/>
        <v>0.19392196522283361</v>
      </c>
      <c r="K120" s="145">
        <f>C120-I120</f>
        <v>2958377.75</v>
      </c>
      <c r="L120" s="147"/>
    </row>
    <row r="121" spans="1:12" ht="12.75">
      <c r="A121" s="65" t="s">
        <v>369</v>
      </c>
      <c r="B121" s="147"/>
      <c r="C121" s="147"/>
      <c r="D121" s="147"/>
      <c r="E121" s="147"/>
      <c r="F121" s="147">
        <f t="shared" si="18"/>
        <v>0</v>
      </c>
      <c r="G121" s="147">
        <f>C121-E121</f>
        <v>0</v>
      </c>
      <c r="H121" s="147"/>
      <c r="I121" s="147"/>
      <c r="J121" s="147">
        <f t="shared" si="19"/>
        <v>0</v>
      </c>
      <c r="K121" s="145">
        <f>C121-I121</f>
        <v>0</v>
      </c>
      <c r="L121" s="147"/>
    </row>
    <row r="122" spans="1:12" ht="12.75">
      <c r="A122" s="65" t="s">
        <v>363</v>
      </c>
      <c r="B122" s="147"/>
      <c r="C122" s="147"/>
      <c r="D122" s="147"/>
      <c r="E122" s="147"/>
      <c r="F122" s="147">
        <f t="shared" si="18"/>
        <v>0</v>
      </c>
      <c r="G122" s="147">
        <f>C122-E122</f>
        <v>0</v>
      </c>
      <c r="H122" s="147"/>
      <c r="I122" s="147"/>
      <c r="J122" s="147">
        <f t="shared" si="19"/>
        <v>0</v>
      </c>
      <c r="K122" s="145">
        <f>C122-I122</f>
        <v>0</v>
      </c>
      <c r="L122" s="147"/>
    </row>
    <row r="123" spans="1:12" ht="12.75">
      <c r="A123" s="64" t="s">
        <v>270</v>
      </c>
      <c r="B123" s="147">
        <f>SUM(B124:B127)</f>
        <v>3523000</v>
      </c>
      <c r="C123" s="147">
        <f>SUM(C124:C127)</f>
        <v>8079862.55</v>
      </c>
      <c r="D123" s="147">
        <f>SUM(D124:D127)</f>
        <v>237048.81</v>
      </c>
      <c r="E123" s="147">
        <f>SUM(E124:E127)</f>
        <v>5133311.96</v>
      </c>
      <c r="F123" s="147">
        <f t="shared" si="18"/>
        <v>0.9527221922183172</v>
      </c>
      <c r="G123" s="147">
        <f>SUM(G124:G127)</f>
        <v>2946550.59</v>
      </c>
      <c r="H123" s="147">
        <f>SUM(H124:H127)</f>
        <v>708755.58</v>
      </c>
      <c r="I123" s="147">
        <f>SUM(I124:I127)</f>
        <v>989952.58</v>
      </c>
      <c r="J123" s="147">
        <f t="shared" si="19"/>
        <v>0.29920026899162927</v>
      </c>
      <c r="K123" s="145">
        <f>SUM(K124:K127)</f>
        <v>7089909.97</v>
      </c>
      <c r="L123" s="147">
        <f>SUM(L124:L127)</f>
        <v>0</v>
      </c>
    </row>
    <row r="124" spans="1:12" ht="12.75">
      <c r="A124" s="65" t="s">
        <v>414</v>
      </c>
      <c r="B124" s="147"/>
      <c r="C124" s="147"/>
      <c r="D124" s="147"/>
      <c r="E124" s="147"/>
      <c r="F124" s="147">
        <f t="shared" si="18"/>
        <v>0</v>
      </c>
      <c r="G124" s="147">
        <f>C124-E124</f>
        <v>0</v>
      </c>
      <c r="H124" s="147"/>
      <c r="I124" s="147"/>
      <c r="J124" s="147">
        <f t="shared" si="19"/>
        <v>0</v>
      </c>
      <c r="K124" s="145">
        <f>C124-I124</f>
        <v>0</v>
      </c>
      <c r="L124" s="147"/>
    </row>
    <row r="125" spans="1:12" ht="12.75">
      <c r="A125" s="65" t="s">
        <v>415</v>
      </c>
      <c r="B125" s="147">
        <v>3523000</v>
      </c>
      <c r="C125" s="147">
        <v>8079862.55</v>
      </c>
      <c r="D125" s="147">
        <v>237048.81</v>
      </c>
      <c r="E125" s="147">
        <v>5133311.96</v>
      </c>
      <c r="F125" s="147">
        <f t="shared" si="18"/>
        <v>0.9527221922183172</v>
      </c>
      <c r="G125" s="147">
        <f>C125-E125</f>
        <v>2946550.59</v>
      </c>
      <c r="H125" s="147">
        <v>708755.58</v>
      </c>
      <c r="I125" s="147">
        <v>989952.58</v>
      </c>
      <c r="J125" s="147">
        <f t="shared" si="19"/>
        <v>0.29920026899162927</v>
      </c>
      <c r="K125" s="145">
        <f>C125-I125</f>
        <v>7089909.97</v>
      </c>
      <c r="L125" s="147"/>
    </row>
    <row r="126" spans="1:12" ht="12.75">
      <c r="A126" s="65" t="s">
        <v>369</v>
      </c>
      <c r="B126" s="147"/>
      <c r="C126" s="147"/>
      <c r="D126" s="147"/>
      <c r="E126" s="147"/>
      <c r="F126" s="147">
        <f t="shared" si="18"/>
        <v>0</v>
      </c>
      <c r="G126" s="147">
        <f>C126-E126</f>
        <v>0</v>
      </c>
      <c r="H126" s="147"/>
      <c r="I126" s="147"/>
      <c r="J126" s="147">
        <f t="shared" si="19"/>
        <v>0</v>
      </c>
      <c r="K126" s="145">
        <f>C126-I126</f>
        <v>0</v>
      </c>
      <c r="L126" s="147"/>
    </row>
    <row r="127" spans="1:12" ht="12.75">
      <c r="A127" s="65" t="s">
        <v>363</v>
      </c>
      <c r="B127" s="147"/>
      <c r="C127" s="147"/>
      <c r="D127" s="147"/>
      <c r="E127" s="147"/>
      <c r="F127" s="147">
        <f t="shared" si="18"/>
        <v>0</v>
      </c>
      <c r="G127" s="147">
        <f>C127-E127</f>
        <v>0</v>
      </c>
      <c r="H127" s="147"/>
      <c r="I127" s="147"/>
      <c r="J127" s="147">
        <f t="shared" si="19"/>
        <v>0</v>
      </c>
      <c r="K127" s="145">
        <f>C127-I127</f>
        <v>0</v>
      </c>
      <c r="L127" s="147"/>
    </row>
    <row r="128" spans="1:12" ht="12.75">
      <c r="A128" s="64" t="s">
        <v>271</v>
      </c>
      <c r="B128" s="147">
        <f>SUM(B129:B132)</f>
        <v>111719000</v>
      </c>
      <c r="C128" s="147">
        <f>SUM(C129:C132)</f>
        <v>111969000</v>
      </c>
      <c r="D128" s="147">
        <f>SUM(D129:D132)</f>
        <v>10404845.97</v>
      </c>
      <c r="E128" s="147">
        <f>SUM(E129:E132)</f>
        <v>50022547.08</v>
      </c>
      <c r="F128" s="147">
        <f t="shared" si="18"/>
        <v>9.283984898202366</v>
      </c>
      <c r="G128" s="147">
        <f>SUM(G129:G132)</f>
        <v>61946452.92</v>
      </c>
      <c r="H128" s="147">
        <f>SUM(H129:H132)</f>
        <v>14305849.93</v>
      </c>
      <c r="I128" s="147">
        <f>SUM(I129:I132)</f>
        <v>24818832.2</v>
      </c>
      <c r="J128" s="147">
        <f t="shared" si="19"/>
        <v>7.501168662339473</v>
      </c>
      <c r="K128" s="145">
        <f>SUM(K129:K132)</f>
        <v>87150167.8</v>
      </c>
      <c r="L128" s="147">
        <f>SUM(L129:L132)</f>
        <v>0</v>
      </c>
    </row>
    <row r="129" spans="1:12" ht="12.75">
      <c r="A129" s="65" t="s">
        <v>416</v>
      </c>
      <c r="B129" s="147"/>
      <c r="C129" s="147"/>
      <c r="D129" s="147"/>
      <c r="E129" s="147"/>
      <c r="F129" s="147">
        <f t="shared" si="18"/>
        <v>0</v>
      </c>
      <c r="G129" s="147">
        <f>C129-E129</f>
        <v>0</v>
      </c>
      <c r="H129" s="147"/>
      <c r="I129" s="147"/>
      <c r="J129" s="147">
        <f t="shared" si="19"/>
        <v>0</v>
      </c>
      <c r="K129" s="145">
        <f>C129-I129</f>
        <v>0</v>
      </c>
      <c r="L129" s="147"/>
    </row>
    <row r="130" spans="1:12" ht="12.75">
      <c r="A130" s="65" t="s">
        <v>417</v>
      </c>
      <c r="B130" s="147">
        <v>111719000</v>
      </c>
      <c r="C130" s="147">
        <v>111969000</v>
      </c>
      <c r="D130" s="147">
        <v>10404845.97</v>
      </c>
      <c r="E130" s="147">
        <v>50022547.08</v>
      </c>
      <c r="F130" s="147">
        <f t="shared" si="18"/>
        <v>9.283984898202366</v>
      </c>
      <c r="G130" s="147">
        <f>C130-E130</f>
        <v>61946452.92</v>
      </c>
      <c r="H130" s="147">
        <v>14305849.93</v>
      </c>
      <c r="I130" s="147">
        <v>24818832.2</v>
      </c>
      <c r="J130" s="147">
        <f t="shared" si="19"/>
        <v>7.501168662339473</v>
      </c>
      <c r="K130" s="145">
        <f>C130-I130</f>
        <v>87150167.8</v>
      </c>
      <c r="L130" s="147"/>
    </row>
    <row r="131" spans="1:12" ht="12.75">
      <c r="A131" s="65" t="s">
        <v>369</v>
      </c>
      <c r="B131" s="147"/>
      <c r="C131" s="147"/>
      <c r="D131" s="147"/>
      <c r="E131" s="147"/>
      <c r="F131" s="147">
        <f t="shared" si="18"/>
        <v>0</v>
      </c>
      <c r="G131" s="147">
        <f>C131-E131</f>
        <v>0</v>
      </c>
      <c r="H131" s="147"/>
      <c r="I131" s="147"/>
      <c r="J131" s="147">
        <f t="shared" si="19"/>
        <v>0</v>
      </c>
      <c r="K131" s="145">
        <f>C131-I131</f>
        <v>0</v>
      </c>
      <c r="L131" s="147"/>
    </row>
    <row r="132" spans="1:12" ht="12.75">
      <c r="A132" s="65" t="s">
        <v>363</v>
      </c>
      <c r="B132" s="147"/>
      <c r="C132" s="147"/>
      <c r="D132" s="147"/>
      <c r="E132" s="147"/>
      <c r="F132" s="147">
        <f t="shared" si="18"/>
        <v>0</v>
      </c>
      <c r="G132" s="147">
        <f>C132-E132</f>
        <v>0</v>
      </c>
      <c r="H132" s="147"/>
      <c r="I132" s="147"/>
      <c r="J132" s="147">
        <f t="shared" si="19"/>
        <v>0</v>
      </c>
      <c r="K132" s="145">
        <f>C132-I132</f>
        <v>0</v>
      </c>
      <c r="L132" s="147"/>
    </row>
    <row r="133" spans="1:12" ht="12.75">
      <c r="A133" s="64" t="s">
        <v>272</v>
      </c>
      <c r="B133" s="147">
        <f>SUM(B134:B140)</f>
        <v>960000</v>
      </c>
      <c r="C133" s="147">
        <f>SUM(C134:C140)</f>
        <v>960000</v>
      </c>
      <c r="D133" s="147">
        <f>SUM(D134:D140)</f>
        <v>0</v>
      </c>
      <c r="E133" s="147">
        <f>SUM(E134:E140)</f>
        <v>714414.29</v>
      </c>
      <c r="F133" s="147">
        <f t="shared" si="18"/>
        <v>0.13259243814219557</v>
      </c>
      <c r="G133" s="147">
        <f>SUM(G134:G140)</f>
        <v>245585.71</v>
      </c>
      <c r="H133" s="147">
        <f>SUM(H134:H140)</f>
        <v>262039.94</v>
      </c>
      <c r="I133" s="147">
        <f>SUM(I134:I140)</f>
        <v>317011.94</v>
      </c>
      <c r="J133" s="147">
        <f t="shared" si="19"/>
        <v>0.0958127284455971</v>
      </c>
      <c r="K133" s="145">
        <f>SUM(K134:K140)</f>
        <v>642988.06</v>
      </c>
      <c r="L133" s="147">
        <f>SUM(L134:L140)</f>
        <v>0</v>
      </c>
    </row>
    <row r="134" spans="1:12" ht="12.75">
      <c r="A134" s="65" t="s">
        <v>418</v>
      </c>
      <c r="B134" s="147">
        <v>340000</v>
      </c>
      <c r="C134" s="147">
        <v>340000</v>
      </c>
      <c r="D134" s="147">
        <v>0</v>
      </c>
      <c r="E134" s="147">
        <v>97434.41</v>
      </c>
      <c r="F134" s="147">
        <f t="shared" si="18"/>
        <v>0.01808343724597995</v>
      </c>
      <c r="G134" s="147">
        <f aca="true" t="shared" si="20" ref="G134:G140">C134-E134</f>
        <v>242565.59</v>
      </c>
      <c r="H134" s="147">
        <v>8000</v>
      </c>
      <c r="I134" s="147">
        <v>8000</v>
      </c>
      <c r="J134" s="147">
        <f t="shared" si="19"/>
        <v>0.002417895766212392</v>
      </c>
      <c r="K134" s="145">
        <f aca="true" t="shared" si="21" ref="K134:K140">C134-I134</f>
        <v>332000</v>
      </c>
      <c r="L134" s="147"/>
    </row>
    <row r="135" spans="1:12" ht="12.75">
      <c r="A135" s="65" t="s">
        <v>419</v>
      </c>
      <c r="B135" s="147"/>
      <c r="C135" s="147"/>
      <c r="D135" s="147"/>
      <c r="E135" s="147"/>
      <c r="F135" s="147">
        <f t="shared" si="18"/>
        <v>0</v>
      </c>
      <c r="G135" s="147">
        <f t="shared" si="20"/>
        <v>0</v>
      </c>
      <c r="H135" s="147"/>
      <c r="I135" s="147"/>
      <c r="J135" s="147">
        <f t="shared" si="19"/>
        <v>0</v>
      </c>
      <c r="K135" s="145">
        <f t="shared" si="21"/>
        <v>0</v>
      </c>
      <c r="L135" s="147"/>
    </row>
    <row r="136" spans="1:12" ht="12.75">
      <c r="A136" s="65" t="s">
        <v>420</v>
      </c>
      <c r="B136" s="147"/>
      <c r="C136" s="147"/>
      <c r="D136" s="147"/>
      <c r="E136" s="147"/>
      <c r="F136" s="147">
        <f t="shared" si="18"/>
        <v>0</v>
      </c>
      <c r="G136" s="147">
        <f t="shared" si="20"/>
        <v>0</v>
      </c>
      <c r="H136" s="147"/>
      <c r="I136" s="147"/>
      <c r="J136" s="147">
        <f t="shared" si="19"/>
        <v>0</v>
      </c>
      <c r="K136" s="145">
        <f t="shared" si="21"/>
        <v>0</v>
      </c>
      <c r="L136" s="147"/>
    </row>
    <row r="137" spans="1:12" ht="12.75">
      <c r="A137" s="65" t="s">
        <v>421</v>
      </c>
      <c r="B137" s="147">
        <v>620000</v>
      </c>
      <c r="C137" s="147">
        <v>620000</v>
      </c>
      <c r="D137" s="147">
        <v>0</v>
      </c>
      <c r="E137" s="147">
        <v>616979.88</v>
      </c>
      <c r="F137" s="147">
        <f t="shared" si="18"/>
        <v>0.11450900089621562</v>
      </c>
      <c r="G137" s="147">
        <f t="shared" si="20"/>
        <v>3020.1199999999953</v>
      </c>
      <c r="H137" s="147">
        <v>254039.94</v>
      </c>
      <c r="I137" s="147">
        <v>309011.94</v>
      </c>
      <c r="J137" s="147">
        <f t="shared" si="19"/>
        <v>0.09339483267938471</v>
      </c>
      <c r="K137" s="145">
        <f t="shared" si="21"/>
        <v>310988.06</v>
      </c>
      <c r="L137" s="147"/>
    </row>
    <row r="138" spans="1:12" ht="12.75">
      <c r="A138" s="65" t="s">
        <v>422</v>
      </c>
      <c r="B138" s="147"/>
      <c r="C138" s="147"/>
      <c r="D138" s="147"/>
      <c r="E138" s="147"/>
      <c r="F138" s="147">
        <f t="shared" si="18"/>
        <v>0</v>
      </c>
      <c r="G138" s="147">
        <f t="shared" si="20"/>
        <v>0</v>
      </c>
      <c r="H138" s="147"/>
      <c r="I138" s="147"/>
      <c r="J138" s="147">
        <f t="shared" si="19"/>
        <v>0</v>
      </c>
      <c r="K138" s="145">
        <f t="shared" si="21"/>
        <v>0</v>
      </c>
      <c r="L138" s="147"/>
    </row>
    <row r="139" spans="1:12" ht="12.75">
      <c r="A139" s="65" t="s">
        <v>369</v>
      </c>
      <c r="B139" s="147"/>
      <c r="C139" s="147"/>
      <c r="D139" s="147"/>
      <c r="E139" s="147"/>
      <c r="F139" s="147">
        <f t="shared" si="18"/>
        <v>0</v>
      </c>
      <c r="G139" s="147">
        <f t="shared" si="20"/>
        <v>0</v>
      </c>
      <c r="H139" s="147"/>
      <c r="I139" s="147"/>
      <c r="J139" s="147">
        <f t="shared" si="19"/>
        <v>0</v>
      </c>
      <c r="K139" s="145">
        <f t="shared" si="21"/>
        <v>0</v>
      </c>
      <c r="L139" s="147"/>
    </row>
    <row r="140" spans="1:12" ht="12.75">
      <c r="A140" s="65" t="s">
        <v>363</v>
      </c>
      <c r="B140" s="147"/>
      <c r="C140" s="147"/>
      <c r="D140" s="147"/>
      <c r="E140" s="147"/>
      <c r="F140" s="147">
        <f t="shared" si="18"/>
        <v>0</v>
      </c>
      <c r="G140" s="147">
        <f t="shared" si="20"/>
        <v>0</v>
      </c>
      <c r="H140" s="147"/>
      <c r="I140" s="147"/>
      <c r="J140" s="147">
        <f t="shared" si="19"/>
        <v>0</v>
      </c>
      <c r="K140" s="145">
        <f t="shared" si="21"/>
        <v>0</v>
      </c>
      <c r="L140" s="147"/>
    </row>
    <row r="141" spans="1:12" ht="12.75">
      <c r="A141" s="64" t="s">
        <v>273</v>
      </c>
      <c r="B141" s="147">
        <f>SUM(B142:B146)</f>
        <v>0</v>
      </c>
      <c r="C141" s="147">
        <f>SUM(C142:C146)</f>
        <v>0</v>
      </c>
      <c r="D141" s="147">
        <f>SUM(D142:D146)</f>
        <v>0</v>
      </c>
      <c r="E141" s="147">
        <f>SUM(E142:E146)</f>
        <v>0</v>
      </c>
      <c r="F141" s="147">
        <f t="shared" si="18"/>
        <v>0</v>
      </c>
      <c r="G141" s="147">
        <f>SUM(G142:G146)</f>
        <v>0</v>
      </c>
      <c r="H141" s="147">
        <f>SUM(H142:H146)</f>
        <v>0</v>
      </c>
      <c r="I141" s="147">
        <f>SUM(I142:I146)</f>
        <v>0</v>
      </c>
      <c r="J141" s="147">
        <f t="shared" si="19"/>
        <v>0</v>
      </c>
      <c r="K141" s="145">
        <f>SUM(K142:K146)</f>
        <v>0</v>
      </c>
      <c r="L141" s="147">
        <f>SUM(L142:L146)</f>
        <v>0</v>
      </c>
    </row>
    <row r="142" spans="1:12" ht="12.75">
      <c r="A142" s="65" t="s">
        <v>423</v>
      </c>
      <c r="B142" s="147"/>
      <c r="C142" s="147"/>
      <c r="D142" s="147"/>
      <c r="E142" s="147"/>
      <c r="F142" s="147">
        <f t="shared" si="18"/>
        <v>0</v>
      </c>
      <c r="G142" s="147">
        <f>C142-E142</f>
        <v>0</v>
      </c>
      <c r="H142" s="147"/>
      <c r="I142" s="147"/>
      <c r="J142" s="147">
        <f t="shared" si="19"/>
        <v>0</v>
      </c>
      <c r="K142" s="145">
        <f>C142-I142</f>
        <v>0</v>
      </c>
      <c r="L142" s="147"/>
    </row>
    <row r="143" spans="1:12" ht="12.75">
      <c r="A143" s="65" t="s">
        <v>424</v>
      </c>
      <c r="B143" s="147"/>
      <c r="C143" s="147"/>
      <c r="D143" s="147"/>
      <c r="E143" s="147"/>
      <c r="F143" s="147">
        <f t="shared" si="18"/>
        <v>0</v>
      </c>
      <c r="G143" s="147">
        <f>C143-E143</f>
        <v>0</v>
      </c>
      <c r="H143" s="147"/>
      <c r="I143" s="147"/>
      <c r="J143" s="147">
        <f t="shared" si="19"/>
        <v>0</v>
      </c>
      <c r="K143" s="145">
        <f>C143-I143</f>
        <v>0</v>
      </c>
      <c r="L143" s="147"/>
    </row>
    <row r="144" spans="1:12" ht="12.75">
      <c r="A144" s="65" t="s">
        <v>425</v>
      </c>
      <c r="B144" s="147"/>
      <c r="C144" s="147"/>
      <c r="D144" s="147"/>
      <c r="E144" s="147"/>
      <c r="F144" s="147">
        <f t="shared" si="18"/>
        <v>0</v>
      </c>
      <c r="G144" s="147">
        <f>C144-E144</f>
        <v>0</v>
      </c>
      <c r="H144" s="147"/>
      <c r="I144" s="147"/>
      <c r="J144" s="147">
        <f t="shared" si="19"/>
        <v>0</v>
      </c>
      <c r="K144" s="145">
        <f>C144-I144</f>
        <v>0</v>
      </c>
      <c r="L144" s="147"/>
    </row>
    <row r="145" spans="1:12" ht="12.75">
      <c r="A145" s="65" t="s">
        <v>369</v>
      </c>
      <c r="B145" s="147"/>
      <c r="C145" s="147"/>
      <c r="D145" s="147"/>
      <c r="E145" s="147"/>
      <c r="F145" s="147">
        <f t="shared" si="18"/>
        <v>0</v>
      </c>
      <c r="G145" s="147">
        <f>C145-E145</f>
        <v>0</v>
      </c>
      <c r="H145" s="147"/>
      <c r="I145" s="147"/>
      <c r="J145" s="147">
        <f t="shared" si="19"/>
        <v>0</v>
      </c>
      <c r="K145" s="145">
        <f>C145-I145</f>
        <v>0</v>
      </c>
      <c r="L145" s="147"/>
    </row>
    <row r="146" spans="1:12" ht="12.75">
      <c r="A146" s="65" t="s">
        <v>363</v>
      </c>
      <c r="B146" s="147"/>
      <c r="C146" s="147"/>
      <c r="D146" s="147"/>
      <c r="E146" s="147"/>
      <c r="F146" s="147">
        <f t="shared" si="18"/>
        <v>0</v>
      </c>
      <c r="G146" s="147">
        <f>C146-E146</f>
        <v>0</v>
      </c>
      <c r="H146" s="147"/>
      <c r="I146" s="147"/>
      <c r="J146" s="147">
        <f t="shared" si="19"/>
        <v>0</v>
      </c>
      <c r="K146" s="145">
        <f>C146-I146</f>
        <v>0</v>
      </c>
      <c r="L146" s="147"/>
    </row>
    <row r="147" spans="1:12" ht="12.75">
      <c r="A147" s="64" t="s">
        <v>274</v>
      </c>
      <c r="B147" s="147">
        <f>SUM(B148:B154)</f>
        <v>0</v>
      </c>
      <c r="C147" s="147">
        <f>SUM(C148:C154)</f>
        <v>0</v>
      </c>
      <c r="D147" s="147">
        <f>SUM(D148:D154)</f>
        <v>0</v>
      </c>
      <c r="E147" s="147">
        <f>SUM(E148:E154)</f>
        <v>0</v>
      </c>
      <c r="F147" s="147">
        <f aca="true" t="shared" si="22" ref="F147:F178">IF($E$213&gt;0,E147/$E$213,0)*100</f>
        <v>0</v>
      </c>
      <c r="G147" s="147">
        <f>SUM(G148:G154)</f>
        <v>0</v>
      </c>
      <c r="H147" s="147">
        <f>SUM(H148:H154)</f>
        <v>0</v>
      </c>
      <c r="I147" s="147">
        <f>SUM(I148:I154)</f>
        <v>0</v>
      </c>
      <c r="J147" s="147">
        <f aca="true" t="shared" si="23" ref="J147:J178">IF($I$213&gt;0,I147/$I$213,0)*100</f>
        <v>0</v>
      </c>
      <c r="K147" s="145">
        <f>SUM(K148:K154)</f>
        <v>0</v>
      </c>
      <c r="L147" s="147">
        <f>SUM(L148:L154)</f>
        <v>0</v>
      </c>
    </row>
    <row r="148" spans="1:12" ht="12.75">
      <c r="A148" s="65" t="s">
        <v>426</v>
      </c>
      <c r="B148" s="147"/>
      <c r="C148" s="147"/>
      <c r="D148" s="147"/>
      <c r="E148" s="147"/>
      <c r="F148" s="147">
        <f t="shared" si="22"/>
        <v>0</v>
      </c>
      <c r="G148" s="147">
        <f aca="true" t="shared" si="24" ref="G148:G154">C148-E148</f>
        <v>0</v>
      </c>
      <c r="H148" s="147"/>
      <c r="I148" s="147"/>
      <c r="J148" s="147">
        <f t="shared" si="23"/>
        <v>0</v>
      </c>
      <c r="K148" s="145">
        <f aca="true" t="shared" si="25" ref="K148:K154">C148-I148</f>
        <v>0</v>
      </c>
      <c r="L148" s="147"/>
    </row>
    <row r="149" spans="1:12" ht="12.75">
      <c r="A149" s="65" t="s">
        <v>427</v>
      </c>
      <c r="B149" s="147"/>
      <c r="C149" s="147"/>
      <c r="D149" s="147"/>
      <c r="E149" s="147"/>
      <c r="F149" s="147">
        <f t="shared" si="22"/>
        <v>0</v>
      </c>
      <c r="G149" s="147">
        <f t="shared" si="24"/>
        <v>0</v>
      </c>
      <c r="H149" s="147"/>
      <c r="I149" s="147"/>
      <c r="J149" s="147">
        <f t="shared" si="23"/>
        <v>0</v>
      </c>
      <c r="K149" s="145">
        <f t="shared" si="25"/>
        <v>0</v>
      </c>
      <c r="L149" s="147"/>
    </row>
    <row r="150" spans="1:12" ht="12.75">
      <c r="A150" s="65" t="s">
        <v>428</v>
      </c>
      <c r="B150" s="147"/>
      <c r="C150" s="147"/>
      <c r="D150" s="147"/>
      <c r="E150" s="147"/>
      <c r="F150" s="147">
        <f t="shared" si="22"/>
        <v>0</v>
      </c>
      <c r="G150" s="147">
        <f t="shared" si="24"/>
        <v>0</v>
      </c>
      <c r="H150" s="147"/>
      <c r="I150" s="147"/>
      <c r="J150" s="147">
        <f t="shared" si="23"/>
        <v>0</v>
      </c>
      <c r="K150" s="145">
        <f t="shared" si="25"/>
        <v>0</v>
      </c>
      <c r="L150" s="147"/>
    </row>
    <row r="151" spans="1:12" ht="12.75">
      <c r="A151" s="65" t="s">
        <v>640</v>
      </c>
      <c r="B151" s="147"/>
      <c r="C151" s="147"/>
      <c r="D151" s="147"/>
      <c r="E151" s="147"/>
      <c r="F151" s="147">
        <f t="shared" si="22"/>
        <v>0</v>
      </c>
      <c r="G151" s="147">
        <f t="shared" si="24"/>
        <v>0</v>
      </c>
      <c r="H151" s="147"/>
      <c r="I151" s="147"/>
      <c r="J151" s="147">
        <f t="shared" si="23"/>
        <v>0</v>
      </c>
      <c r="K151" s="145">
        <f t="shared" si="25"/>
        <v>0</v>
      </c>
      <c r="L151" s="147"/>
    </row>
    <row r="152" spans="1:12" ht="12.75">
      <c r="A152" s="65" t="s">
        <v>641</v>
      </c>
      <c r="B152" s="147"/>
      <c r="C152" s="147"/>
      <c r="D152" s="147"/>
      <c r="E152" s="147"/>
      <c r="F152" s="147">
        <f t="shared" si="22"/>
        <v>0</v>
      </c>
      <c r="G152" s="147">
        <f t="shared" si="24"/>
        <v>0</v>
      </c>
      <c r="H152" s="147"/>
      <c r="I152" s="147"/>
      <c r="J152" s="147">
        <f t="shared" si="23"/>
        <v>0</v>
      </c>
      <c r="K152" s="145">
        <f t="shared" si="25"/>
        <v>0</v>
      </c>
      <c r="L152" s="147"/>
    </row>
    <row r="153" spans="1:12" ht="12.75">
      <c r="A153" s="65" t="s">
        <v>369</v>
      </c>
      <c r="B153" s="147"/>
      <c r="C153" s="147"/>
      <c r="D153" s="147"/>
      <c r="E153" s="147"/>
      <c r="F153" s="147">
        <f t="shared" si="22"/>
        <v>0</v>
      </c>
      <c r="G153" s="147">
        <f t="shared" si="24"/>
        <v>0</v>
      </c>
      <c r="H153" s="147"/>
      <c r="I153" s="147"/>
      <c r="J153" s="147">
        <f t="shared" si="23"/>
        <v>0</v>
      </c>
      <c r="K153" s="145">
        <f t="shared" si="25"/>
        <v>0</v>
      </c>
      <c r="L153" s="147"/>
    </row>
    <row r="154" spans="1:12" ht="12.75">
      <c r="A154" s="65" t="s">
        <v>363</v>
      </c>
      <c r="B154" s="147"/>
      <c r="C154" s="147"/>
      <c r="D154" s="147"/>
      <c r="E154" s="147"/>
      <c r="F154" s="147">
        <f t="shared" si="22"/>
        <v>0</v>
      </c>
      <c r="G154" s="147">
        <f t="shared" si="24"/>
        <v>0</v>
      </c>
      <c r="H154" s="147"/>
      <c r="I154" s="147"/>
      <c r="J154" s="147">
        <f t="shared" si="23"/>
        <v>0</v>
      </c>
      <c r="K154" s="145">
        <f t="shared" si="25"/>
        <v>0</v>
      </c>
      <c r="L154" s="147"/>
    </row>
    <row r="155" spans="1:12" ht="12.75">
      <c r="A155" s="64" t="s">
        <v>275</v>
      </c>
      <c r="B155" s="147">
        <f>SUM(B156:B159)</f>
        <v>0</v>
      </c>
      <c r="C155" s="147">
        <f>SUM(C156:C159)</f>
        <v>0</v>
      </c>
      <c r="D155" s="147">
        <f>SUM(D156:D159)</f>
        <v>0</v>
      </c>
      <c r="E155" s="147">
        <f>SUM(E156:E159)</f>
        <v>0</v>
      </c>
      <c r="F155" s="147">
        <f t="shared" si="22"/>
        <v>0</v>
      </c>
      <c r="G155" s="147">
        <f>SUM(G156:G159)</f>
        <v>0</v>
      </c>
      <c r="H155" s="147">
        <f>SUM(H156:H159)</f>
        <v>0</v>
      </c>
      <c r="I155" s="147">
        <f>SUM(I156:I159)</f>
        <v>0</v>
      </c>
      <c r="J155" s="147">
        <f t="shared" si="23"/>
        <v>0</v>
      </c>
      <c r="K155" s="145">
        <f>SUM(K156:K159)</f>
        <v>0</v>
      </c>
      <c r="L155" s="147">
        <f>SUM(L156:L159)</f>
        <v>0</v>
      </c>
    </row>
    <row r="156" spans="1:12" ht="12.75">
      <c r="A156" s="65" t="s">
        <v>429</v>
      </c>
      <c r="B156" s="147"/>
      <c r="C156" s="147"/>
      <c r="D156" s="147"/>
      <c r="E156" s="147"/>
      <c r="F156" s="147">
        <f t="shared" si="22"/>
        <v>0</v>
      </c>
      <c r="G156" s="147">
        <f>C156-E156</f>
        <v>0</v>
      </c>
      <c r="H156" s="147"/>
      <c r="I156" s="147"/>
      <c r="J156" s="147">
        <f t="shared" si="23"/>
        <v>0</v>
      </c>
      <c r="K156" s="145">
        <f>C156-I156</f>
        <v>0</v>
      </c>
      <c r="L156" s="147"/>
    </row>
    <row r="157" spans="1:12" ht="12.75">
      <c r="A157" s="65" t="s">
        <v>430</v>
      </c>
      <c r="B157" s="147"/>
      <c r="C157" s="147"/>
      <c r="D157" s="147"/>
      <c r="E157" s="147"/>
      <c r="F157" s="147">
        <f t="shared" si="22"/>
        <v>0</v>
      </c>
      <c r="G157" s="147">
        <f>C157-E157</f>
        <v>0</v>
      </c>
      <c r="H157" s="147"/>
      <c r="I157" s="147"/>
      <c r="J157" s="147">
        <f t="shared" si="23"/>
        <v>0</v>
      </c>
      <c r="K157" s="145">
        <f>C157-I157</f>
        <v>0</v>
      </c>
      <c r="L157" s="147"/>
    </row>
    <row r="158" spans="1:12" ht="12.75">
      <c r="A158" s="65" t="s">
        <v>369</v>
      </c>
      <c r="B158" s="147"/>
      <c r="C158" s="147"/>
      <c r="D158" s="147"/>
      <c r="E158" s="147"/>
      <c r="F158" s="147">
        <f t="shared" si="22"/>
        <v>0</v>
      </c>
      <c r="G158" s="147">
        <f>C158-E158</f>
        <v>0</v>
      </c>
      <c r="H158" s="147"/>
      <c r="I158" s="147"/>
      <c r="J158" s="147">
        <f t="shared" si="23"/>
        <v>0</v>
      </c>
      <c r="K158" s="145">
        <f>C158-I158</f>
        <v>0</v>
      </c>
      <c r="L158" s="147"/>
    </row>
    <row r="159" spans="1:12" ht="12.75">
      <c r="A159" s="65" t="s">
        <v>363</v>
      </c>
      <c r="B159" s="147"/>
      <c r="C159" s="147"/>
      <c r="D159" s="147"/>
      <c r="E159" s="147"/>
      <c r="F159" s="147">
        <f t="shared" si="22"/>
        <v>0</v>
      </c>
      <c r="G159" s="147">
        <f>C159-E159</f>
        <v>0</v>
      </c>
      <c r="H159" s="147"/>
      <c r="I159" s="147"/>
      <c r="J159" s="147">
        <f t="shared" si="23"/>
        <v>0</v>
      </c>
      <c r="K159" s="145">
        <f>C159-I159</f>
        <v>0</v>
      </c>
      <c r="L159" s="147"/>
    </row>
    <row r="160" spans="1:12" ht="12.75">
      <c r="A160" s="64" t="s">
        <v>276</v>
      </c>
      <c r="B160" s="147">
        <f>SUM(B161:B167)</f>
        <v>3254000</v>
      </c>
      <c r="C160" s="147">
        <f>SUM(C161:C167)</f>
        <v>3260000</v>
      </c>
      <c r="D160" s="147">
        <f>SUM(D161:D167)</f>
        <v>364877.87</v>
      </c>
      <c r="E160" s="147">
        <f>SUM(E161:E167)</f>
        <v>875029.08</v>
      </c>
      <c r="F160" s="147">
        <f t="shared" si="22"/>
        <v>0.16240190151084785</v>
      </c>
      <c r="G160" s="147">
        <f>SUM(G161:G167)</f>
        <v>2384970.92</v>
      </c>
      <c r="H160" s="147">
        <f>SUM(H161:H167)</f>
        <v>389991.55</v>
      </c>
      <c r="I160" s="147">
        <f>SUM(I161:I167)</f>
        <v>788331.21</v>
      </c>
      <c r="J160" s="147">
        <f t="shared" si="23"/>
        <v>0.2382628368790115</v>
      </c>
      <c r="K160" s="145">
        <f>SUM(K161:K167)</f>
        <v>2471668.79</v>
      </c>
      <c r="L160" s="147">
        <f>SUM(L161:L167)</f>
        <v>0</v>
      </c>
    </row>
    <row r="161" spans="1:12" ht="12.75">
      <c r="A161" s="65" t="s">
        <v>431</v>
      </c>
      <c r="B161" s="147">
        <v>3254000</v>
      </c>
      <c r="C161" s="147">
        <v>3260000</v>
      </c>
      <c r="D161" s="147">
        <v>364877.87</v>
      </c>
      <c r="E161" s="147">
        <v>875029.08</v>
      </c>
      <c r="F161" s="147">
        <f t="shared" si="22"/>
        <v>0.16240190151084785</v>
      </c>
      <c r="G161" s="147">
        <f aca="true" t="shared" si="26" ref="G161:G167">C161-E161</f>
        <v>2384970.92</v>
      </c>
      <c r="H161" s="147">
        <v>389991.55</v>
      </c>
      <c r="I161" s="147">
        <v>788331.21</v>
      </c>
      <c r="J161" s="147">
        <f t="shared" si="23"/>
        <v>0.2382628368790115</v>
      </c>
      <c r="K161" s="145">
        <f aca="true" t="shared" si="27" ref="K161:K167">C161-I161</f>
        <v>2471668.79</v>
      </c>
      <c r="L161" s="147"/>
    </row>
    <row r="162" spans="1:12" ht="12.75">
      <c r="A162" s="65" t="s">
        <v>432</v>
      </c>
      <c r="B162" s="147"/>
      <c r="C162" s="147"/>
      <c r="D162" s="147"/>
      <c r="E162" s="147"/>
      <c r="F162" s="147">
        <f t="shared" si="22"/>
        <v>0</v>
      </c>
      <c r="G162" s="147">
        <f t="shared" si="26"/>
        <v>0</v>
      </c>
      <c r="H162" s="147"/>
      <c r="I162" s="147"/>
      <c r="J162" s="147">
        <f t="shared" si="23"/>
        <v>0</v>
      </c>
      <c r="K162" s="145">
        <f t="shared" si="27"/>
        <v>0</v>
      </c>
      <c r="L162" s="147"/>
    </row>
    <row r="163" spans="1:12" ht="12.75">
      <c r="A163" s="65" t="s">
        <v>433</v>
      </c>
      <c r="B163" s="147"/>
      <c r="C163" s="147"/>
      <c r="D163" s="147"/>
      <c r="E163" s="147"/>
      <c r="F163" s="147">
        <f t="shared" si="22"/>
        <v>0</v>
      </c>
      <c r="G163" s="147">
        <f t="shared" si="26"/>
        <v>0</v>
      </c>
      <c r="H163" s="147"/>
      <c r="I163" s="147"/>
      <c r="J163" s="147">
        <f t="shared" si="23"/>
        <v>0</v>
      </c>
      <c r="K163" s="145">
        <f t="shared" si="27"/>
        <v>0</v>
      </c>
      <c r="L163" s="147"/>
    </row>
    <row r="164" spans="1:12" ht="12.75">
      <c r="A164" s="65" t="s">
        <v>434</v>
      </c>
      <c r="B164" s="147"/>
      <c r="C164" s="147"/>
      <c r="D164" s="147"/>
      <c r="E164" s="147"/>
      <c r="F164" s="147">
        <f t="shared" si="22"/>
        <v>0</v>
      </c>
      <c r="G164" s="147">
        <f t="shared" si="26"/>
        <v>0</v>
      </c>
      <c r="H164" s="147"/>
      <c r="I164" s="147"/>
      <c r="J164" s="147">
        <f t="shared" si="23"/>
        <v>0</v>
      </c>
      <c r="K164" s="145">
        <f t="shared" si="27"/>
        <v>0</v>
      </c>
      <c r="L164" s="147"/>
    </row>
    <row r="165" spans="1:12" ht="12.75">
      <c r="A165" s="65" t="s">
        <v>435</v>
      </c>
      <c r="B165" s="147"/>
      <c r="C165" s="147"/>
      <c r="D165" s="147"/>
      <c r="E165" s="147"/>
      <c r="F165" s="147">
        <f t="shared" si="22"/>
        <v>0</v>
      </c>
      <c r="G165" s="147">
        <f t="shared" si="26"/>
        <v>0</v>
      </c>
      <c r="H165" s="147"/>
      <c r="I165" s="147"/>
      <c r="J165" s="147">
        <f t="shared" si="23"/>
        <v>0</v>
      </c>
      <c r="K165" s="145">
        <f t="shared" si="27"/>
        <v>0</v>
      </c>
      <c r="L165" s="147"/>
    </row>
    <row r="166" spans="1:12" ht="12.75">
      <c r="A166" s="65" t="s">
        <v>369</v>
      </c>
      <c r="B166" s="147"/>
      <c r="C166" s="147"/>
      <c r="D166" s="147"/>
      <c r="E166" s="147"/>
      <c r="F166" s="147">
        <f t="shared" si="22"/>
        <v>0</v>
      </c>
      <c r="G166" s="147">
        <f t="shared" si="26"/>
        <v>0</v>
      </c>
      <c r="H166" s="147"/>
      <c r="I166" s="147"/>
      <c r="J166" s="147">
        <f t="shared" si="23"/>
        <v>0</v>
      </c>
      <c r="K166" s="145">
        <f t="shared" si="27"/>
        <v>0</v>
      </c>
      <c r="L166" s="147"/>
    </row>
    <row r="167" spans="1:12" ht="12.75">
      <c r="A167" s="65" t="s">
        <v>363</v>
      </c>
      <c r="B167" s="147"/>
      <c r="C167" s="147"/>
      <c r="D167" s="147"/>
      <c r="E167" s="147"/>
      <c r="F167" s="147">
        <f t="shared" si="22"/>
        <v>0</v>
      </c>
      <c r="G167" s="147">
        <f t="shared" si="26"/>
        <v>0</v>
      </c>
      <c r="H167" s="147"/>
      <c r="I167" s="147"/>
      <c r="J167" s="147">
        <f t="shared" si="23"/>
        <v>0</v>
      </c>
      <c r="K167" s="145">
        <f t="shared" si="27"/>
        <v>0</v>
      </c>
      <c r="L167" s="147"/>
    </row>
    <row r="168" spans="1:12" ht="12.75">
      <c r="A168" s="64" t="s">
        <v>277</v>
      </c>
      <c r="B168" s="147">
        <f>SUM(B169:B175)</f>
        <v>286000</v>
      </c>
      <c r="C168" s="147">
        <f>SUM(C169:C175)</f>
        <v>724894.99</v>
      </c>
      <c r="D168" s="147">
        <f>SUM(D169:D175)</f>
        <v>117980</v>
      </c>
      <c r="E168" s="147">
        <f>SUM(E169:E175)</f>
        <v>344543.3</v>
      </c>
      <c r="F168" s="147">
        <f t="shared" si="22"/>
        <v>0.06394586003110034</v>
      </c>
      <c r="G168" s="147">
        <f>SUM(G169:G175)</f>
        <v>380351.69</v>
      </c>
      <c r="H168" s="147">
        <f>SUM(H169:H175)</f>
        <v>4500</v>
      </c>
      <c r="I168" s="147">
        <f>SUM(I169:I175)</f>
        <v>221913.3</v>
      </c>
      <c r="J168" s="147">
        <f t="shared" si="23"/>
        <v>0.06707040356702755</v>
      </c>
      <c r="K168" s="145">
        <f>SUM(K169:K175)</f>
        <v>502981.69</v>
      </c>
      <c r="L168" s="147">
        <f>SUM(L169:L175)</f>
        <v>0</v>
      </c>
    </row>
    <row r="169" spans="1:12" ht="12.75">
      <c r="A169" s="65" t="s">
        <v>436</v>
      </c>
      <c r="B169" s="147"/>
      <c r="C169" s="147"/>
      <c r="D169" s="147"/>
      <c r="E169" s="147"/>
      <c r="F169" s="147">
        <f t="shared" si="22"/>
        <v>0</v>
      </c>
      <c r="G169" s="147">
        <f aca="true" t="shared" si="28" ref="G169:G175">C169-E169</f>
        <v>0</v>
      </c>
      <c r="H169" s="147"/>
      <c r="I169" s="147"/>
      <c r="J169" s="147">
        <f t="shared" si="23"/>
        <v>0</v>
      </c>
      <c r="K169" s="145">
        <f aca="true" t="shared" si="29" ref="K169:K175">C169-I169</f>
        <v>0</v>
      </c>
      <c r="L169" s="147"/>
    </row>
    <row r="170" spans="1:12" ht="12.75">
      <c r="A170" s="65" t="s">
        <v>437</v>
      </c>
      <c r="B170" s="147"/>
      <c r="C170" s="147"/>
      <c r="D170" s="147"/>
      <c r="E170" s="147"/>
      <c r="F170" s="147">
        <f t="shared" si="22"/>
        <v>0</v>
      </c>
      <c r="G170" s="147">
        <f t="shared" si="28"/>
        <v>0</v>
      </c>
      <c r="H170" s="147"/>
      <c r="I170" s="147"/>
      <c r="J170" s="147">
        <f t="shared" si="23"/>
        <v>0</v>
      </c>
      <c r="K170" s="145">
        <f t="shared" si="29"/>
        <v>0</v>
      </c>
      <c r="L170" s="147"/>
    </row>
    <row r="171" spans="1:12" ht="12.75">
      <c r="A171" s="65" t="s">
        <v>438</v>
      </c>
      <c r="B171" s="147"/>
      <c r="C171" s="147"/>
      <c r="D171" s="147"/>
      <c r="E171" s="147"/>
      <c r="F171" s="147">
        <f t="shared" si="22"/>
        <v>0</v>
      </c>
      <c r="G171" s="147">
        <f t="shared" si="28"/>
        <v>0</v>
      </c>
      <c r="H171" s="147"/>
      <c r="I171" s="147"/>
      <c r="J171" s="147">
        <f t="shared" si="23"/>
        <v>0</v>
      </c>
      <c r="K171" s="145">
        <f t="shared" si="29"/>
        <v>0</v>
      </c>
      <c r="L171" s="147"/>
    </row>
    <row r="172" spans="1:12" ht="12.75">
      <c r="A172" s="65" t="s">
        <v>439</v>
      </c>
      <c r="B172" s="147"/>
      <c r="C172" s="147"/>
      <c r="D172" s="147"/>
      <c r="E172" s="147"/>
      <c r="F172" s="147">
        <f t="shared" si="22"/>
        <v>0</v>
      </c>
      <c r="G172" s="147">
        <f t="shared" si="28"/>
        <v>0</v>
      </c>
      <c r="H172" s="147"/>
      <c r="I172" s="147"/>
      <c r="J172" s="147">
        <f t="shared" si="23"/>
        <v>0</v>
      </c>
      <c r="K172" s="145">
        <f t="shared" si="29"/>
        <v>0</v>
      </c>
      <c r="L172" s="147"/>
    </row>
    <row r="173" spans="1:12" ht="12.75">
      <c r="A173" s="65" t="s">
        <v>440</v>
      </c>
      <c r="B173" s="147">
        <v>286000</v>
      </c>
      <c r="C173" s="147">
        <v>724894.99</v>
      </c>
      <c r="D173" s="147">
        <v>117980</v>
      </c>
      <c r="E173" s="147">
        <v>344543.3</v>
      </c>
      <c r="F173" s="147">
        <f t="shared" si="22"/>
        <v>0.06394586003110034</v>
      </c>
      <c r="G173" s="147">
        <f t="shared" si="28"/>
        <v>380351.69</v>
      </c>
      <c r="H173" s="147">
        <v>4500</v>
      </c>
      <c r="I173" s="147">
        <v>221913.3</v>
      </c>
      <c r="J173" s="147">
        <f t="shared" si="23"/>
        <v>0.06707040356702755</v>
      </c>
      <c r="K173" s="145">
        <f t="shared" si="29"/>
        <v>502981.69</v>
      </c>
      <c r="L173" s="147"/>
    </row>
    <row r="174" spans="1:12" ht="12.75">
      <c r="A174" s="65" t="s">
        <v>369</v>
      </c>
      <c r="B174" s="147"/>
      <c r="C174" s="147"/>
      <c r="D174" s="147"/>
      <c r="E174" s="147"/>
      <c r="F174" s="147">
        <f t="shared" si="22"/>
        <v>0</v>
      </c>
      <c r="G174" s="147">
        <f t="shared" si="28"/>
        <v>0</v>
      </c>
      <c r="H174" s="147"/>
      <c r="I174" s="147"/>
      <c r="J174" s="147">
        <f t="shared" si="23"/>
        <v>0</v>
      </c>
      <c r="K174" s="145">
        <f t="shared" si="29"/>
        <v>0</v>
      </c>
      <c r="L174" s="147"/>
    </row>
    <row r="175" spans="1:12" ht="12.75">
      <c r="A175" s="65" t="s">
        <v>363</v>
      </c>
      <c r="B175" s="147"/>
      <c r="C175" s="147"/>
      <c r="D175" s="147"/>
      <c r="E175" s="147"/>
      <c r="F175" s="147">
        <f t="shared" si="22"/>
        <v>0</v>
      </c>
      <c r="G175" s="147">
        <f t="shared" si="28"/>
        <v>0</v>
      </c>
      <c r="H175" s="147"/>
      <c r="I175" s="147"/>
      <c r="J175" s="147">
        <f t="shared" si="23"/>
        <v>0</v>
      </c>
      <c r="K175" s="145">
        <f t="shared" si="29"/>
        <v>0</v>
      </c>
      <c r="L175" s="147"/>
    </row>
    <row r="176" spans="1:12" ht="12.75">
      <c r="A176" s="64" t="s">
        <v>278</v>
      </c>
      <c r="B176" s="147">
        <f>SUM(B177:B180)</f>
        <v>0</v>
      </c>
      <c r="C176" s="147">
        <f>SUM(C177:C180)</f>
        <v>0</v>
      </c>
      <c r="D176" s="147">
        <f>SUM(D177:D180)</f>
        <v>0</v>
      </c>
      <c r="E176" s="147">
        <f>SUM(E177:E180)</f>
        <v>0</v>
      </c>
      <c r="F176" s="147">
        <f t="shared" si="22"/>
        <v>0</v>
      </c>
      <c r="G176" s="147">
        <f>SUM(G177:G180)</f>
        <v>0</v>
      </c>
      <c r="H176" s="147">
        <f>SUM(H177:H180)</f>
        <v>0</v>
      </c>
      <c r="I176" s="147">
        <f>SUM(I177:I180)</f>
        <v>0</v>
      </c>
      <c r="J176" s="147">
        <f t="shared" si="23"/>
        <v>0</v>
      </c>
      <c r="K176" s="145">
        <f>SUM(K177:K180)</f>
        <v>0</v>
      </c>
      <c r="L176" s="147">
        <f>SUM(L177:L180)</f>
        <v>0</v>
      </c>
    </row>
    <row r="177" spans="1:12" ht="12.75">
      <c r="A177" s="65" t="s">
        <v>441</v>
      </c>
      <c r="B177" s="147"/>
      <c r="C177" s="147"/>
      <c r="D177" s="147"/>
      <c r="E177" s="147"/>
      <c r="F177" s="147">
        <f t="shared" si="22"/>
        <v>0</v>
      </c>
      <c r="G177" s="147">
        <f>C177-E177</f>
        <v>0</v>
      </c>
      <c r="H177" s="147"/>
      <c r="I177" s="147"/>
      <c r="J177" s="147">
        <f t="shared" si="23"/>
        <v>0</v>
      </c>
      <c r="K177" s="145">
        <f>C177-I177</f>
        <v>0</v>
      </c>
      <c r="L177" s="147"/>
    </row>
    <row r="178" spans="1:12" ht="12.75">
      <c r="A178" s="65" t="s">
        <v>442</v>
      </c>
      <c r="B178" s="147"/>
      <c r="C178" s="147"/>
      <c r="D178" s="147"/>
      <c r="E178" s="147"/>
      <c r="F178" s="147">
        <f t="shared" si="22"/>
        <v>0</v>
      </c>
      <c r="G178" s="147">
        <f>C178-E178</f>
        <v>0</v>
      </c>
      <c r="H178" s="147"/>
      <c r="I178" s="147"/>
      <c r="J178" s="147">
        <f t="shared" si="23"/>
        <v>0</v>
      </c>
      <c r="K178" s="145">
        <f>C178-I178</f>
        <v>0</v>
      </c>
      <c r="L178" s="147"/>
    </row>
    <row r="179" spans="1:12" ht="12.75">
      <c r="A179" s="65" t="s">
        <v>369</v>
      </c>
      <c r="B179" s="147"/>
      <c r="C179" s="147"/>
      <c r="D179" s="147"/>
      <c r="E179" s="147"/>
      <c r="F179" s="147">
        <f aca="true" t="shared" si="30" ref="F179:F210">IF($E$213&gt;0,E179/$E$213,0)*100</f>
        <v>0</v>
      </c>
      <c r="G179" s="147">
        <f>C179-E179</f>
        <v>0</v>
      </c>
      <c r="H179" s="147"/>
      <c r="I179" s="147"/>
      <c r="J179" s="147">
        <f aca="true" t="shared" si="31" ref="J179:J210">IF($I$213&gt;0,I179/$I$213,0)*100</f>
        <v>0</v>
      </c>
      <c r="K179" s="145">
        <f>C179-I179</f>
        <v>0</v>
      </c>
      <c r="L179" s="147"/>
    </row>
    <row r="180" spans="1:12" ht="12.75">
      <c r="A180" s="65" t="s">
        <v>363</v>
      </c>
      <c r="B180" s="147"/>
      <c r="C180" s="147"/>
      <c r="D180" s="147"/>
      <c r="E180" s="147"/>
      <c r="F180" s="147">
        <f t="shared" si="30"/>
        <v>0</v>
      </c>
      <c r="G180" s="147">
        <f>C180-E180</f>
        <v>0</v>
      </c>
      <c r="H180" s="147"/>
      <c r="I180" s="147"/>
      <c r="J180" s="147">
        <f t="shared" si="31"/>
        <v>0</v>
      </c>
      <c r="K180" s="145">
        <f>C180-I180</f>
        <v>0</v>
      </c>
      <c r="L180" s="147"/>
    </row>
    <row r="181" spans="1:12" ht="12.75">
      <c r="A181" s="64" t="s">
        <v>279</v>
      </c>
      <c r="B181" s="147">
        <f>SUM(B182:B187)</f>
        <v>0</v>
      </c>
      <c r="C181" s="147">
        <f>SUM(C182:C187)</f>
        <v>0</v>
      </c>
      <c r="D181" s="147">
        <f>SUM(D182:D187)</f>
        <v>0</v>
      </c>
      <c r="E181" s="147">
        <f>SUM(E182:E187)</f>
        <v>0</v>
      </c>
      <c r="F181" s="147">
        <f t="shared" si="30"/>
        <v>0</v>
      </c>
      <c r="G181" s="147">
        <f>SUM(G182:G187)</f>
        <v>0</v>
      </c>
      <c r="H181" s="147">
        <f>SUM(H182:H187)</f>
        <v>0</v>
      </c>
      <c r="I181" s="147">
        <f>SUM(I182:I187)</f>
        <v>0</v>
      </c>
      <c r="J181" s="147">
        <f t="shared" si="31"/>
        <v>0</v>
      </c>
      <c r="K181" s="145">
        <f>SUM(K182:K187)</f>
        <v>0</v>
      </c>
      <c r="L181" s="147">
        <f>SUM(L182:L187)</f>
        <v>0</v>
      </c>
    </row>
    <row r="182" spans="1:12" ht="12.75">
      <c r="A182" s="65" t="s">
        <v>443</v>
      </c>
      <c r="B182" s="147"/>
      <c r="C182" s="147"/>
      <c r="D182" s="147"/>
      <c r="E182" s="147"/>
      <c r="F182" s="147">
        <f t="shared" si="30"/>
        <v>0</v>
      </c>
      <c r="G182" s="147">
        <f aca="true" t="shared" si="32" ref="G182:G187">C182-E182</f>
        <v>0</v>
      </c>
      <c r="H182" s="147"/>
      <c r="I182" s="147"/>
      <c r="J182" s="147">
        <f t="shared" si="31"/>
        <v>0</v>
      </c>
      <c r="K182" s="145">
        <f aca="true" t="shared" si="33" ref="K182:K187">C182-I182</f>
        <v>0</v>
      </c>
      <c r="L182" s="147"/>
    </row>
    <row r="183" spans="1:12" ht="12.75">
      <c r="A183" s="65" t="s">
        <v>444</v>
      </c>
      <c r="B183" s="147"/>
      <c r="C183" s="147"/>
      <c r="D183" s="147"/>
      <c r="E183" s="147"/>
      <c r="F183" s="147">
        <f t="shared" si="30"/>
        <v>0</v>
      </c>
      <c r="G183" s="147">
        <f t="shared" si="32"/>
        <v>0</v>
      </c>
      <c r="H183" s="147"/>
      <c r="I183" s="147"/>
      <c r="J183" s="147">
        <f t="shared" si="31"/>
        <v>0</v>
      </c>
      <c r="K183" s="145">
        <f t="shared" si="33"/>
        <v>0</v>
      </c>
      <c r="L183" s="147"/>
    </row>
    <row r="184" spans="1:12" ht="12.75">
      <c r="A184" s="65" t="s">
        <v>445</v>
      </c>
      <c r="B184" s="147"/>
      <c r="C184" s="147"/>
      <c r="D184" s="147"/>
      <c r="E184" s="147"/>
      <c r="F184" s="147">
        <f t="shared" si="30"/>
        <v>0</v>
      </c>
      <c r="G184" s="147">
        <f t="shared" si="32"/>
        <v>0</v>
      </c>
      <c r="H184" s="147"/>
      <c r="I184" s="147"/>
      <c r="J184" s="147">
        <f t="shared" si="31"/>
        <v>0</v>
      </c>
      <c r="K184" s="145">
        <f t="shared" si="33"/>
        <v>0</v>
      </c>
      <c r="L184" s="147"/>
    </row>
    <row r="185" spans="1:12" ht="12.75">
      <c r="A185" s="65" t="s">
        <v>446</v>
      </c>
      <c r="B185" s="147"/>
      <c r="C185" s="147"/>
      <c r="D185" s="147"/>
      <c r="E185" s="147"/>
      <c r="F185" s="147">
        <f t="shared" si="30"/>
        <v>0</v>
      </c>
      <c r="G185" s="147">
        <f t="shared" si="32"/>
        <v>0</v>
      </c>
      <c r="H185" s="147"/>
      <c r="I185" s="147"/>
      <c r="J185" s="147">
        <f t="shared" si="31"/>
        <v>0</v>
      </c>
      <c r="K185" s="145">
        <f t="shared" si="33"/>
        <v>0</v>
      </c>
      <c r="L185" s="147"/>
    </row>
    <row r="186" spans="1:12" ht="12.75">
      <c r="A186" s="65" t="s">
        <v>369</v>
      </c>
      <c r="B186" s="147"/>
      <c r="C186" s="147"/>
      <c r="D186" s="147"/>
      <c r="E186" s="147"/>
      <c r="F186" s="147">
        <f t="shared" si="30"/>
        <v>0</v>
      </c>
      <c r="G186" s="147">
        <f t="shared" si="32"/>
        <v>0</v>
      </c>
      <c r="H186" s="147"/>
      <c r="I186" s="147"/>
      <c r="J186" s="147">
        <f t="shared" si="31"/>
        <v>0</v>
      </c>
      <c r="K186" s="145">
        <f t="shared" si="33"/>
        <v>0</v>
      </c>
      <c r="L186" s="147"/>
    </row>
    <row r="187" spans="1:12" ht="12.75">
      <c r="A187" s="65" t="s">
        <v>363</v>
      </c>
      <c r="B187" s="147"/>
      <c r="C187" s="147"/>
      <c r="D187" s="147"/>
      <c r="E187" s="147"/>
      <c r="F187" s="147">
        <f t="shared" si="30"/>
        <v>0</v>
      </c>
      <c r="G187" s="147">
        <f t="shared" si="32"/>
        <v>0</v>
      </c>
      <c r="H187" s="147"/>
      <c r="I187" s="147"/>
      <c r="J187" s="147">
        <f t="shared" si="31"/>
        <v>0</v>
      </c>
      <c r="K187" s="145">
        <f t="shared" si="33"/>
        <v>0</v>
      </c>
      <c r="L187" s="147"/>
    </row>
    <row r="188" spans="1:12" ht="12.75">
      <c r="A188" s="64" t="s">
        <v>280</v>
      </c>
      <c r="B188" s="147">
        <f>SUM(B189:B195)</f>
        <v>0</v>
      </c>
      <c r="C188" s="147">
        <f>SUM(C189:C195)</f>
        <v>0</v>
      </c>
      <c r="D188" s="147">
        <f>SUM(D189:D195)</f>
        <v>0</v>
      </c>
      <c r="E188" s="147">
        <f>SUM(E189:E195)</f>
        <v>0</v>
      </c>
      <c r="F188" s="147">
        <f t="shared" si="30"/>
        <v>0</v>
      </c>
      <c r="G188" s="147">
        <f>SUM(G189:G195)</f>
        <v>0</v>
      </c>
      <c r="H188" s="147">
        <f>SUM(H189:H195)</f>
        <v>0</v>
      </c>
      <c r="I188" s="147">
        <f>SUM(I189:I195)</f>
        <v>0</v>
      </c>
      <c r="J188" s="147">
        <f t="shared" si="31"/>
        <v>0</v>
      </c>
      <c r="K188" s="145">
        <f>SUM(K189:K195)</f>
        <v>0</v>
      </c>
      <c r="L188" s="147">
        <f>SUM(L189:L195)</f>
        <v>0</v>
      </c>
    </row>
    <row r="189" spans="1:12" ht="12.75">
      <c r="A189" s="65" t="s">
        <v>447</v>
      </c>
      <c r="B189" s="147"/>
      <c r="C189" s="147"/>
      <c r="D189" s="147"/>
      <c r="E189" s="147"/>
      <c r="F189" s="147">
        <f t="shared" si="30"/>
        <v>0</v>
      </c>
      <c r="G189" s="147">
        <f aca="true" t="shared" si="34" ref="G189:G195">C189-E189</f>
        <v>0</v>
      </c>
      <c r="H189" s="147"/>
      <c r="I189" s="147"/>
      <c r="J189" s="147">
        <f t="shared" si="31"/>
        <v>0</v>
      </c>
      <c r="K189" s="145">
        <f aca="true" t="shared" si="35" ref="K189:K195">C189-I189</f>
        <v>0</v>
      </c>
      <c r="L189" s="147"/>
    </row>
    <row r="190" spans="1:12" ht="12.75">
      <c r="A190" s="65" t="s">
        <v>448</v>
      </c>
      <c r="B190" s="147"/>
      <c r="C190" s="147"/>
      <c r="D190" s="147"/>
      <c r="E190" s="147"/>
      <c r="F190" s="147">
        <f t="shared" si="30"/>
        <v>0</v>
      </c>
      <c r="G190" s="147">
        <f t="shared" si="34"/>
        <v>0</v>
      </c>
      <c r="H190" s="147"/>
      <c r="I190" s="147"/>
      <c r="J190" s="147">
        <f t="shared" si="31"/>
        <v>0</v>
      </c>
      <c r="K190" s="145">
        <f t="shared" si="35"/>
        <v>0</v>
      </c>
      <c r="L190" s="147"/>
    </row>
    <row r="191" spans="1:12" ht="12.75">
      <c r="A191" s="65" t="s">
        <v>449</v>
      </c>
      <c r="B191" s="147"/>
      <c r="C191" s="147"/>
      <c r="D191" s="147"/>
      <c r="E191" s="147"/>
      <c r="F191" s="147">
        <f t="shared" si="30"/>
        <v>0</v>
      </c>
      <c r="G191" s="147">
        <f t="shared" si="34"/>
        <v>0</v>
      </c>
      <c r="H191" s="147"/>
      <c r="I191" s="147"/>
      <c r="J191" s="147">
        <f t="shared" si="31"/>
        <v>0</v>
      </c>
      <c r="K191" s="145">
        <f t="shared" si="35"/>
        <v>0</v>
      </c>
      <c r="L191" s="147"/>
    </row>
    <row r="192" spans="1:12" ht="12.75">
      <c r="A192" s="65" t="s">
        <v>450</v>
      </c>
      <c r="B192" s="147"/>
      <c r="C192" s="147"/>
      <c r="D192" s="147"/>
      <c r="E192" s="147"/>
      <c r="F192" s="147">
        <f t="shared" si="30"/>
        <v>0</v>
      </c>
      <c r="G192" s="147">
        <f t="shared" si="34"/>
        <v>0</v>
      </c>
      <c r="H192" s="147"/>
      <c r="I192" s="147"/>
      <c r="J192" s="147">
        <f t="shared" si="31"/>
        <v>0</v>
      </c>
      <c r="K192" s="145">
        <f t="shared" si="35"/>
        <v>0</v>
      </c>
      <c r="L192" s="147"/>
    </row>
    <row r="193" spans="1:12" ht="12.75">
      <c r="A193" s="65" t="s">
        <v>451</v>
      </c>
      <c r="B193" s="147"/>
      <c r="C193" s="147"/>
      <c r="D193" s="147"/>
      <c r="E193" s="147"/>
      <c r="F193" s="147">
        <f t="shared" si="30"/>
        <v>0</v>
      </c>
      <c r="G193" s="147">
        <f t="shared" si="34"/>
        <v>0</v>
      </c>
      <c r="H193" s="147"/>
      <c r="I193" s="147"/>
      <c r="J193" s="147">
        <f t="shared" si="31"/>
        <v>0</v>
      </c>
      <c r="K193" s="145">
        <f t="shared" si="35"/>
        <v>0</v>
      </c>
      <c r="L193" s="147"/>
    </row>
    <row r="194" spans="1:12" ht="12.75">
      <c r="A194" s="65" t="s">
        <v>369</v>
      </c>
      <c r="B194" s="147"/>
      <c r="C194" s="147"/>
      <c r="D194" s="147"/>
      <c r="E194" s="147"/>
      <c r="F194" s="147">
        <f t="shared" si="30"/>
        <v>0</v>
      </c>
      <c r="G194" s="147">
        <f t="shared" si="34"/>
        <v>0</v>
      </c>
      <c r="H194" s="147"/>
      <c r="I194" s="147"/>
      <c r="J194" s="147">
        <f t="shared" si="31"/>
        <v>0</v>
      </c>
      <c r="K194" s="145">
        <f t="shared" si="35"/>
        <v>0</v>
      </c>
      <c r="L194" s="147"/>
    </row>
    <row r="195" spans="1:12" ht="12.75">
      <c r="A195" s="65" t="s">
        <v>363</v>
      </c>
      <c r="B195" s="147"/>
      <c r="C195" s="147"/>
      <c r="D195" s="147"/>
      <c r="E195" s="147"/>
      <c r="F195" s="147">
        <f t="shared" si="30"/>
        <v>0</v>
      </c>
      <c r="G195" s="147">
        <f t="shared" si="34"/>
        <v>0</v>
      </c>
      <c r="H195" s="147"/>
      <c r="I195" s="147"/>
      <c r="J195" s="147">
        <f t="shared" si="31"/>
        <v>0</v>
      </c>
      <c r="K195" s="145">
        <f t="shared" si="35"/>
        <v>0</v>
      </c>
      <c r="L195" s="147"/>
    </row>
    <row r="196" spans="1:12" ht="12.75">
      <c r="A196" s="64" t="s">
        <v>281</v>
      </c>
      <c r="B196" s="147">
        <f>SUM(B197:B201)</f>
        <v>22420000</v>
      </c>
      <c r="C196" s="147">
        <f>SUM(C197:C201)</f>
        <v>23695402.8</v>
      </c>
      <c r="D196" s="147">
        <f>SUM(D197:D201)</f>
        <v>2339013.15</v>
      </c>
      <c r="E196" s="147">
        <f>SUM(E197:E201)</f>
        <v>12248717.92</v>
      </c>
      <c r="F196" s="147">
        <f t="shared" si="30"/>
        <v>2.273313112380216</v>
      </c>
      <c r="G196" s="147">
        <f>SUM(G197:G201)</f>
        <v>11446684.88</v>
      </c>
      <c r="H196" s="147">
        <f>SUM(H197:H201)</f>
        <v>2512591.16</v>
      </c>
      <c r="I196" s="147">
        <f>SUM(I197:I201)</f>
        <v>4394137.319999999</v>
      </c>
      <c r="J196" s="147">
        <f t="shared" si="31"/>
        <v>1.3280707527729831</v>
      </c>
      <c r="K196" s="145">
        <f>SUM(K197:K201)</f>
        <v>19301265.48</v>
      </c>
      <c r="L196" s="147">
        <f>SUM(L197:L201)</f>
        <v>0</v>
      </c>
    </row>
    <row r="197" spans="1:12" ht="12.75">
      <c r="A197" s="65" t="s">
        <v>452</v>
      </c>
      <c r="B197" s="147">
        <v>2156000</v>
      </c>
      <c r="C197" s="147">
        <v>2156000</v>
      </c>
      <c r="D197" s="147">
        <v>94250.3</v>
      </c>
      <c r="E197" s="147">
        <v>1086612.51</v>
      </c>
      <c r="F197" s="147">
        <f t="shared" si="30"/>
        <v>0.20167094084401765</v>
      </c>
      <c r="G197" s="147">
        <f>C197-E197</f>
        <v>1069387.49</v>
      </c>
      <c r="H197" s="147">
        <v>279164.61</v>
      </c>
      <c r="I197" s="147">
        <v>591325.82</v>
      </c>
      <c r="J197" s="147">
        <f t="shared" si="31"/>
        <v>0.17872052457875887</v>
      </c>
      <c r="K197" s="145">
        <f>C197-I197</f>
        <v>1564674.1800000002</v>
      </c>
      <c r="L197" s="147"/>
    </row>
    <row r="198" spans="1:12" ht="12.75">
      <c r="A198" s="65" t="s">
        <v>453</v>
      </c>
      <c r="B198" s="147">
        <v>20023000</v>
      </c>
      <c r="C198" s="147">
        <v>21023402.8</v>
      </c>
      <c r="D198" s="147">
        <v>2197003.71</v>
      </c>
      <c r="E198" s="147">
        <v>11087368.23</v>
      </c>
      <c r="F198" s="147">
        <f t="shared" si="30"/>
        <v>2.0577712495028893</v>
      </c>
      <c r="G198" s="147">
        <f>C198-E198</f>
        <v>9936034.57</v>
      </c>
      <c r="H198" s="147">
        <v>2177288.37</v>
      </c>
      <c r="I198" s="147">
        <v>3728074.32</v>
      </c>
      <c r="J198" s="147">
        <f t="shared" si="31"/>
        <v>1.126761889306643</v>
      </c>
      <c r="K198" s="145">
        <f>C198-I198</f>
        <v>17295328.48</v>
      </c>
      <c r="L198" s="147"/>
    </row>
    <row r="199" spans="1:12" ht="12.75">
      <c r="A199" s="65" t="s">
        <v>454</v>
      </c>
      <c r="B199" s="147">
        <v>241000</v>
      </c>
      <c r="C199" s="147">
        <v>516000</v>
      </c>
      <c r="D199" s="147">
        <v>47759.14</v>
      </c>
      <c r="E199" s="147">
        <v>74737.18</v>
      </c>
      <c r="F199" s="147">
        <f t="shared" si="30"/>
        <v>0.013870922033309462</v>
      </c>
      <c r="G199" s="147">
        <f>C199-E199</f>
        <v>441262.82</v>
      </c>
      <c r="H199" s="147">
        <v>56138.18</v>
      </c>
      <c r="I199" s="147">
        <v>74737.18</v>
      </c>
      <c r="J199" s="147">
        <f t="shared" si="31"/>
        <v>0.02258833888758168</v>
      </c>
      <c r="K199" s="145">
        <f>C199-I199</f>
        <v>441262.82</v>
      </c>
      <c r="L199" s="147"/>
    </row>
    <row r="200" spans="1:12" ht="12.75">
      <c r="A200" s="65" t="s">
        <v>369</v>
      </c>
      <c r="B200" s="147"/>
      <c r="C200" s="147"/>
      <c r="D200" s="147"/>
      <c r="E200" s="147"/>
      <c r="F200" s="147">
        <f t="shared" si="30"/>
        <v>0</v>
      </c>
      <c r="G200" s="147">
        <f>C200-E200</f>
        <v>0</v>
      </c>
      <c r="H200" s="147"/>
      <c r="I200" s="147"/>
      <c r="J200" s="147">
        <f t="shared" si="31"/>
        <v>0</v>
      </c>
      <c r="K200" s="145">
        <f>C200-I200</f>
        <v>0</v>
      </c>
      <c r="L200" s="147"/>
    </row>
    <row r="201" spans="1:12" ht="12.75">
      <c r="A201" s="65" t="s">
        <v>363</v>
      </c>
      <c r="B201" s="147"/>
      <c r="C201" s="147"/>
      <c r="D201" s="147"/>
      <c r="E201" s="147"/>
      <c r="F201" s="147">
        <f t="shared" si="30"/>
        <v>0</v>
      </c>
      <c r="G201" s="147">
        <f>C201-E201</f>
        <v>0</v>
      </c>
      <c r="H201" s="147"/>
      <c r="I201" s="147"/>
      <c r="J201" s="147">
        <f t="shared" si="31"/>
        <v>0</v>
      </c>
      <c r="K201" s="145">
        <f>C201-I201</f>
        <v>0</v>
      </c>
      <c r="L201" s="147"/>
    </row>
    <row r="202" spans="1:12" ht="12.75">
      <c r="A202" s="64" t="s">
        <v>282</v>
      </c>
      <c r="B202" s="147">
        <f>SUM(B203:B210)</f>
        <v>46950000</v>
      </c>
      <c r="C202" s="147">
        <f>SUM(C203:C210)</f>
        <v>47535681.05</v>
      </c>
      <c r="D202" s="147">
        <f>SUM(D203:D210)</f>
        <v>2590351.25</v>
      </c>
      <c r="E202" s="147">
        <f>SUM(E203:E210)</f>
        <v>15829424.96</v>
      </c>
      <c r="F202" s="147">
        <f t="shared" si="30"/>
        <v>2.9378780340960517</v>
      </c>
      <c r="G202" s="147">
        <f>SUM(G203:G210)</f>
        <v>31706256.09</v>
      </c>
      <c r="H202" s="147">
        <f>SUM(H203:H210)</f>
        <v>4845408.91</v>
      </c>
      <c r="I202" s="147">
        <f>SUM(I203:I210)</f>
        <v>8152735.42</v>
      </c>
      <c r="J202" s="147">
        <f t="shared" si="31"/>
        <v>2.464058056883476</v>
      </c>
      <c r="K202" s="145">
        <f>SUM(K203:K210)</f>
        <v>39382945.63</v>
      </c>
      <c r="L202" s="147">
        <f>SUM(L203:L210)</f>
        <v>0</v>
      </c>
    </row>
    <row r="203" spans="1:12" ht="12.75">
      <c r="A203" s="65" t="s">
        <v>455</v>
      </c>
      <c r="B203" s="147"/>
      <c r="C203" s="147"/>
      <c r="D203" s="147"/>
      <c r="E203" s="147"/>
      <c r="F203" s="147">
        <f t="shared" si="30"/>
        <v>0</v>
      </c>
      <c r="G203" s="147">
        <f aca="true" t="shared" si="36" ref="G203:G212">C203-E203</f>
        <v>0</v>
      </c>
      <c r="H203" s="147"/>
      <c r="I203" s="147"/>
      <c r="J203" s="147">
        <f t="shared" si="31"/>
        <v>0</v>
      </c>
      <c r="K203" s="145">
        <f aca="true" t="shared" si="37" ref="K203:K212">C203-I203</f>
        <v>0</v>
      </c>
      <c r="L203" s="147"/>
    </row>
    <row r="204" spans="1:12" ht="12.75">
      <c r="A204" s="65" t="s">
        <v>456</v>
      </c>
      <c r="B204" s="147"/>
      <c r="C204" s="147"/>
      <c r="D204" s="147"/>
      <c r="E204" s="147"/>
      <c r="F204" s="147">
        <f t="shared" si="30"/>
        <v>0</v>
      </c>
      <c r="G204" s="147">
        <f t="shared" si="36"/>
        <v>0</v>
      </c>
      <c r="H204" s="147"/>
      <c r="I204" s="147"/>
      <c r="J204" s="147">
        <f t="shared" si="31"/>
        <v>0</v>
      </c>
      <c r="K204" s="145">
        <f t="shared" si="37"/>
        <v>0</v>
      </c>
      <c r="L204" s="147"/>
    </row>
    <row r="205" spans="1:12" ht="12.75">
      <c r="A205" s="65" t="s">
        <v>457</v>
      </c>
      <c r="B205" s="147">
        <v>15250000</v>
      </c>
      <c r="C205" s="147">
        <v>15250000</v>
      </c>
      <c r="D205" s="147">
        <v>1693769.71</v>
      </c>
      <c r="E205" s="147">
        <v>3623809.57</v>
      </c>
      <c r="F205" s="147">
        <f t="shared" si="30"/>
        <v>0.6725645790894262</v>
      </c>
      <c r="G205" s="147">
        <f t="shared" si="36"/>
        <v>11626190.43</v>
      </c>
      <c r="H205" s="147">
        <v>1693769.71</v>
      </c>
      <c r="I205" s="147">
        <v>3623809.57</v>
      </c>
      <c r="J205" s="147">
        <f t="shared" si="31"/>
        <v>1.0952492271078684</v>
      </c>
      <c r="K205" s="145">
        <f t="shared" si="37"/>
        <v>11626190.43</v>
      </c>
      <c r="L205" s="147"/>
    </row>
    <row r="206" spans="1:12" ht="12.75">
      <c r="A206" s="65" t="s">
        <v>458</v>
      </c>
      <c r="B206" s="147"/>
      <c r="C206" s="147"/>
      <c r="D206" s="147"/>
      <c r="E206" s="147"/>
      <c r="F206" s="147">
        <f t="shared" si="30"/>
        <v>0</v>
      </c>
      <c r="G206" s="147">
        <f t="shared" si="36"/>
        <v>0</v>
      </c>
      <c r="H206" s="147"/>
      <c r="I206" s="147"/>
      <c r="J206" s="147">
        <f t="shared" si="31"/>
        <v>0</v>
      </c>
      <c r="K206" s="145">
        <f t="shared" si="37"/>
        <v>0</v>
      </c>
      <c r="L206" s="147"/>
    </row>
    <row r="207" spans="1:12" ht="12.75">
      <c r="A207" s="65" t="s">
        <v>459</v>
      </c>
      <c r="B207" s="147"/>
      <c r="C207" s="147"/>
      <c r="D207" s="147"/>
      <c r="E207" s="147"/>
      <c r="F207" s="147">
        <f t="shared" si="30"/>
        <v>0</v>
      </c>
      <c r="G207" s="147">
        <f t="shared" si="36"/>
        <v>0</v>
      </c>
      <c r="H207" s="147"/>
      <c r="I207" s="147"/>
      <c r="J207" s="147">
        <f t="shared" si="31"/>
        <v>0</v>
      </c>
      <c r="K207" s="145">
        <f t="shared" si="37"/>
        <v>0</v>
      </c>
      <c r="L207" s="147"/>
    </row>
    <row r="208" spans="1:12" ht="12.75">
      <c r="A208" s="65" t="s">
        <v>460</v>
      </c>
      <c r="B208" s="147">
        <v>31700000</v>
      </c>
      <c r="C208" s="147">
        <v>32285681.05</v>
      </c>
      <c r="D208" s="147">
        <v>896581.54</v>
      </c>
      <c r="E208" s="147">
        <v>12205615.39</v>
      </c>
      <c r="F208" s="147">
        <f t="shared" si="30"/>
        <v>2.2653134550066256</v>
      </c>
      <c r="G208" s="147">
        <f t="shared" si="36"/>
        <v>20080065.66</v>
      </c>
      <c r="H208" s="147">
        <v>3151639.2</v>
      </c>
      <c r="I208" s="147">
        <v>4528925.85</v>
      </c>
      <c r="J208" s="147">
        <f t="shared" si="31"/>
        <v>1.3688088297756074</v>
      </c>
      <c r="K208" s="145">
        <f t="shared" si="37"/>
        <v>27756755.200000003</v>
      </c>
      <c r="L208" s="147"/>
    </row>
    <row r="209" spans="1:12" ht="12.75">
      <c r="A209" s="65" t="s">
        <v>622</v>
      </c>
      <c r="B209" s="147"/>
      <c r="C209" s="147"/>
      <c r="D209" s="147"/>
      <c r="E209" s="147"/>
      <c r="F209" s="147">
        <f t="shared" si="30"/>
        <v>0</v>
      </c>
      <c r="G209" s="147">
        <f t="shared" si="36"/>
        <v>0</v>
      </c>
      <c r="H209" s="147"/>
      <c r="I209" s="147"/>
      <c r="J209" s="147">
        <f t="shared" si="31"/>
        <v>0</v>
      </c>
      <c r="K209" s="145">
        <f t="shared" si="37"/>
        <v>0</v>
      </c>
      <c r="L209" s="147"/>
    </row>
    <row r="210" spans="1:12" ht="12.75">
      <c r="A210" s="65" t="s">
        <v>363</v>
      </c>
      <c r="B210" s="147"/>
      <c r="C210" s="147"/>
      <c r="D210" s="147"/>
      <c r="E210" s="147"/>
      <c r="F210" s="147">
        <f t="shared" si="30"/>
        <v>0</v>
      </c>
      <c r="G210" s="147">
        <f t="shared" si="36"/>
        <v>0</v>
      </c>
      <c r="H210" s="147"/>
      <c r="I210" s="147"/>
      <c r="J210" s="147">
        <f t="shared" si="31"/>
        <v>0</v>
      </c>
      <c r="K210" s="145">
        <f t="shared" si="37"/>
        <v>0</v>
      </c>
      <c r="L210" s="147"/>
    </row>
    <row r="211" spans="1:12" ht="12.75">
      <c r="A211" s="64" t="s">
        <v>65</v>
      </c>
      <c r="B211" s="150">
        <v>86628800</v>
      </c>
      <c r="C211" s="150">
        <v>86628800</v>
      </c>
      <c r="D211" s="165"/>
      <c r="E211" s="165"/>
      <c r="F211" s="165"/>
      <c r="G211" s="150">
        <f t="shared" si="36"/>
        <v>86628800</v>
      </c>
      <c r="H211" s="165"/>
      <c r="I211" s="165"/>
      <c r="J211" s="165"/>
      <c r="K211" s="150">
        <f t="shared" si="37"/>
        <v>86628800</v>
      </c>
      <c r="L211" s="165"/>
    </row>
    <row r="212" spans="1:12" ht="12.75">
      <c r="A212" s="64" t="s">
        <v>167</v>
      </c>
      <c r="B212" s="147">
        <f>B221</f>
        <v>105458095</v>
      </c>
      <c r="C212" s="147">
        <f>C221</f>
        <v>106520095</v>
      </c>
      <c r="D212" s="147">
        <f>D221</f>
        <v>16384659.629999999</v>
      </c>
      <c r="E212" s="147">
        <f>E221</f>
        <v>36525876.529999994</v>
      </c>
      <c r="F212" s="147">
        <f>IF($E$213&gt;0,E212/$E$213,0)*100</f>
        <v>6.7790567632591685</v>
      </c>
      <c r="G212" s="147">
        <f t="shared" si="36"/>
        <v>69994218.47</v>
      </c>
      <c r="H212" s="147">
        <f>H221</f>
        <v>17163723.750000004</v>
      </c>
      <c r="I212" s="147">
        <f>I221</f>
        <v>32182012.590000004</v>
      </c>
      <c r="J212" s="147">
        <f>IF($I$213&gt;0,I212/$I$213,0)*100</f>
        <v>9.726593998694364</v>
      </c>
      <c r="K212" s="145">
        <f t="shared" si="37"/>
        <v>74338082.41</v>
      </c>
      <c r="L212" s="147">
        <f>L221</f>
        <v>0</v>
      </c>
    </row>
    <row r="213" spans="1:12" ht="12.75">
      <c r="A213" s="68" t="s">
        <v>168</v>
      </c>
      <c r="B213" s="150">
        <f>B212+B19</f>
        <v>1249055000</v>
      </c>
      <c r="C213" s="150">
        <f>C212+C19</f>
        <v>1329576070.1599998</v>
      </c>
      <c r="D213" s="150">
        <f>D212+D19</f>
        <v>135900017.27</v>
      </c>
      <c r="E213" s="150">
        <f>E212+E19</f>
        <v>538804701.09</v>
      </c>
      <c r="F213" s="150">
        <f>IF($E$213&gt;0,E213/$E$213,0)*100</f>
        <v>100</v>
      </c>
      <c r="G213" s="150">
        <f>G212+G19</f>
        <v>790771369.07</v>
      </c>
      <c r="H213" s="150">
        <f>H212+H19</f>
        <v>185398820.49</v>
      </c>
      <c r="I213" s="150">
        <f>I212+I19</f>
        <v>330866206.5500001</v>
      </c>
      <c r="J213" s="150">
        <f>IF($I$213&gt;0,I213/$I$213,0)*100</f>
        <v>100</v>
      </c>
      <c r="K213" s="149">
        <f>K212+K19</f>
        <v>998709863.61</v>
      </c>
      <c r="L213" s="150">
        <f>L212+L19</f>
        <v>0</v>
      </c>
    </row>
    <row r="214" spans="1:12" ht="12.75">
      <c r="A214" s="790"/>
      <c r="B214" s="799"/>
      <c r="C214" s="799"/>
      <c r="D214" s="799"/>
      <c r="E214" s="799"/>
      <c r="F214" s="799"/>
      <c r="G214" s="799"/>
      <c r="H214" s="799"/>
      <c r="I214" s="799"/>
      <c r="J214" s="799"/>
      <c r="K214" s="799"/>
      <c r="L214" s="799"/>
    </row>
    <row r="215" spans="1:12" ht="12.75">
      <c r="A215" s="800"/>
      <c r="B215" s="800"/>
      <c r="C215" s="800"/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 ht="12.75">
      <c r="A216" s="803"/>
      <c r="B216" s="803"/>
      <c r="C216" s="803"/>
      <c r="D216" s="803"/>
      <c r="E216" s="803"/>
      <c r="F216" s="803"/>
      <c r="G216" s="803"/>
      <c r="H216" s="803"/>
      <c r="I216" s="803"/>
      <c r="J216" s="803"/>
      <c r="K216" s="70"/>
      <c r="L216" s="70"/>
    </row>
    <row r="217" spans="1:12" s="51" customFormat="1" ht="11.2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ht="24.75" customHeight="1">
      <c r="A218" s="54"/>
      <c r="B218" s="55" t="s">
        <v>103</v>
      </c>
      <c r="C218" s="55" t="s">
        <v>103</v>
      </c>
      <c r="D218" s="812" t="s">
        <v>104</v>
      </c>
      <c r="E218" s="813"/>
      <c r="F218" s="814"/>
      <c r="G218" s="56" t="s">
        <v>107</v>
      </c>
      <c r="H218" s="809" t="s">
        <v>105</v>
      </c>
      <c r="I218" s="810"/>
      <c r="J218" s="811"/>
      <c r="K218" s="56" t="s">
        <v>107</v>
      </c>
      <c r="L218" s="804" t="s">
        <v>816</v>
      </c>
    </row>
    <row r="219" spans="1:12" ht="20.25" customHeight="1">
      <c r="A219" s="57" t="s">
        <v>114</v>
      </c>
      <c r="B219" s="58" t="s">
        <v>74</v>
      </c>
      <c r="C219" s="58" t="s">
        <v>75</v>
      </c>
      <c r="D219" s="55" t="str">
        <f>D17</f>
        <v>No Bimestre</v>
      </c>
      <c r="E219" s="55" t="str">
        <f>E17</f>
        <v>Até o  Bimestre</v>
      </c>
      <c r="F219" s="55" t="s">
        <v>77</v>
      </c>
      <c r="G219" s="59"/>
      <c r="H219" s="55" t="str">
        <f>H17</f>
        <v>No Bimestre</v>
      </c>
      <c r="I219" s="55" t="str">
        <f>I17</f>
        <v>Até o  Bimestre</v>
      </c>
      <c r="J219" s="55" t="s">
        <v>77</v>
      </c>
      <c r="K219" s="59"/>
      <c r="L219" s="805"/>
    </row>
    <row r="220" spans="1:12" ht="21.75" customHeight="1">
      <c r="A220" s="60"/>
      <c r="B220" s="35"/>
      <c r="C220" s="38" t="s">
        <v>79</v>
      </c>
      <c r="D220" s="38"/>
      <c r="E220" s="38" t="s">
        <v>80</v>
      </c>
      <c r="F220" s="38" t="s">
        <v>36</v>
      </c>
      <c r="G220" s="61" t="s">
        <v>257</v>
      </c>
      <c r="H220" s="38"/>
      <c r="I220" s="38" t="s">
        <v>108</v>
      </c>
      <c r="J220" s="38" t="s">
        <v>592</v>
      </c>
      <c r="K220" s="61" t="s">
        <v>591</v>
      </c>
      <c r="L220" s="806"/>
    </row>
    <row r="221" spans="1:12" ht="11.25" customHeight="1">
      <c r="A221" s="63" t="s">
        <v>167</v>
      </c>
      <c r="B221" s="147">
        <f>B222+B227+B232+B237+B250+B256+B262+B267+B274+B281+B290+B297+B308+B313+B319+B325+B330+B335+B343+B349+B357+B362+B370+B378+B383+B390+B398+B404+B413</f>
        <v>105458095</v>
      </c>
      <c r="C221" s="147">
        <f>C222+C227+C232+C237+C250+C256+C262+C267+C274+C281+C290+C297+C308+C313+C319+C325+C330+C335+C343+C349+C357+C362+C370+C378+C383+C390+C398+C404+C413</f>
        <v>106520095</v>
      </c>
      <c r="D221" s="147">
        <f>D222+D227+D232+D237+D250+D256+D262+D267+D274+D281+D290+D297+D308+D313+D319+D325+D330+D335+D343+D349+D357+D362+D370+D378+D383+D390+D398+D404+D413</f>
        <v>16384659.629999999</v>
      </c>
      <c r="E221" s="147">
        <f>E222+E227+E232+E237+E250+E256+E262+E267+E274+E281+E290+E297+E308+E313+E319+E325+E330+E335+E343+E349+E357+E362+E370+E378+E383+E390+E398+E404+E413</f>
        <v>36525876.529999994</v>
      </c>
      <c r="F221" s="147">
        <f aca="true" t="shared" si="38" ref="F221:F252">IF($E$213&gt;0,E221/$E$213,0)*100</f>
        <v>6.7790567632591685</v>
      </c>
      <c r="G221" s="147">
        <f>G222+G227+G232+G237+G250+G256+G262+G267+G274+G281+G290+G297+G308+G313+G319+G325+G330+G335+G343+G349+G357+G362+G370+G378+G383+G390+G398+G404+G413</f>
        <v>69994218.47000001</v>
      </c>
      <c r="H221" s="147">
        <f>H222+H227+H232+H237+H250+H256+H262+H267+H274+H281+H290+H297+H308+H313+H319+H325+H330+H335+H343+H349+H357+H362+H370+H378+H383+H390+H398+H404+H413</f>
        <v>17163723.750000004</v>
      </c>
      <c r="I221" s="147">
        <f>I222+I227+I232+I237+I250+I256+I262+I267+I274+I281+I290+I297+I308+I313+I319+I325+I330+I335+I343+I349+I357+I362+I370+I378+I383+I390+I398+I404+I413</f>
        <v>32182012.590000004</v>
      </c>
      <c r="J221" s="145">
        <f aca="true" t="shared" si="39" ref="J221:J252">IF($I$213&gt;0,I221/$I$213,0)*100</f>
        <v>9.726593998694364</v>
      </c>
      <c r="K221" s="145">
        <f>K222+K227+K232+K237+K250+K256+K262+K267+K274+K281+K290+K297+K308+K313+K319+K325+K330+K335+K343+K349+K357+K362+K370+K378+K383+K390+K398+K404+K413</f>
        <v>74338082.41000001</v>
      </c>
      <c r="L221" s="148">
        <f>L222+L227+L232+L237+L250+L256+L262+L267+L274+L281+L290+L297+L308+L313+L319+L325+L330+L335+L343+L349+L357+L362+L370+L378+L383+L390+L398+L404+L413</f>
        <v>0</v>
      </c>
    </row>
    <row r="222" spans="1:12" ht="11.25" customHeight="1">
      <c r="A222" s="64" t="s">
        <v>248</v>
      </c>
      <c r="B222" s="147">
        <f>SUM(B223:B226)</f>
        <v>1490000</v>
      </c>
      <c r="C222" s="147">
        <f>SUM(C223:C226)</f>
        <v>1490000</v>
      </c>
      <c r="D222" s="147">
        <f>SUM(D223:D226)</f>
        <v>237210.93</v>
      </c>
      <c r="E222" s="147">
        <f>SUM(E223:E226)</f>
        <v>351285.63</v>
      </c>
      <c r="F222" s="147">
        <f t="shared" si="38"/>
        <v>0.06519720954352298</v>
      </c>
      <c r="G222" s="147">
        <f>SUM(G223:G226)</f>
        <v>1138714.37</v>
      </c>
      <c r="H222" s="147">
        <f>SUM(H223:H226)</f>
        <v>237210.93</v>
      </c>
      <c r="I222" s="147">
        <f>SUM(I223:I226)</f>
        <v>351285.63</v>
      </c>
      <c r="J222" s="145">
        <f t="shared" si="39"/>
        <v>0.1061715046885316</v>
      </c>
      <c r="K222" s="145">
        <f>SUM(K223:K226)</f>
        <v>1138714.37</v>
      </c>
      <c r="L222" s="147">
        <f>SUM(L223:L226)</f>
        <v>0</v>
      </c>
    </row>
    <row r="223" spans="1:12" ht="11.25" customHeight="1">
      <c r="A223" s="65" t="s">
        <v>361</v>
      </c>
      <c r="B223" s="162">
        <v>1490000</v>
      </c>
      <c r="C223" s="147">
        <v>1490000</v>
      </c>
      <c r="D223" s="147">
        <v>237210.93</v>
      </c>
      <c r="E223" s="147">
        <v>351285.63</v>
      </c>
      <c r="F223" s="147">
        <f t="shared" si="38"/>
        <v>0.06519720954352298</v>
      </c>
      <c r="G223" s="147">
        <f>C223-E223</f>
        <v>1138714.37</v>
      </c>
      <c r="H223" s="147">
        <v>237210.93</v>
      </c>
      <c r="I223" s="147">
        <v>351285.63</v>
      </c>
      <c r="J223" s="145">
        <f t="shared" si="39"/>
        <v>0.1061715046885316</v>
      </c>
      <c r="K223" s="145">
        <f>C223-I223</f>
        <v>1138714.37</v>
      </c>
      <c r="L223" s="147"/>
    </row>
    <row r="224" spans="1:12" ht="11.25" customHeight="1">
      <c r="A224" s="65" t="s">
        <v>362</v>
      </c>
      <c r="B224" s="162"/>
      <c r="C224" s="147"/>
      <c r="D224" s="147"/>
      <c r="E224" s="147"/>
      <c r="F224" s="147">
        <f t="shared" si="38"/>
        <v>0</v>
      </c>
      <c r="G224" s="147">
        <f>C224-E224</f>
        <v>0</v>
      </c>
      <c r="H224" s="147"/>
      <c r="I224" s="147"/>
      <c r="J224" s="145">
        <f t="shared" si="39"/>
        <v>0</v>
      </c>
      <c r="K224" s="145">
        <f>C224-I224</f>
        <v>0</v>
      </c>
      <c r="L224" s="147"/>
    </row>
    <row r="225" spans="1:12" ht="11.25" customHeight="1">
      <c r="A225" s="65" t="s">
        <v>369</v>
      </c>
      <c r="B225" s="162"/>
      <c r="C225" s="147"/>
      <c r="D225" s="147"/>
      <c r="E225" s="147"/>
      <c r="F225" s="147">
        <f t="shared" si="38"/>
        <v>0</v>
      </c>
      <c r="G225" s="147">
        <f>C225-E225</f>
        <v>0</v>
      </c>
      <c r="H225" s="147"/>
      <c r="I225" s="147"/>
      <c r="J225" s="145">
        <f t="shared" si="39"/>
        <v>0</v>
      </c>
      <c r="K225" s="145">
        <f>C225-I225</f>
        <v>0</v>
      </c>
      <c r="L225" s="147"/>
    </row>
    <row r="226" spans="1:12" ht="11.25" customHeight="1">
      <c r="A226" s="65" t="s">
        <v>363</v>
      </c>
      <c r="B226" s="162"/>
      <c r="C226" s="147"/>
      <c r="D226" s="147"/>
      <c r="E226" s="147"/>
      <c r="F226" s="147">
        <f t="shared" si="38"/>
        <v>0</v>
      </c>
      <c r="G226" s="147">
        <f>C226-E226</f>
        <v>0</v>
      </c>
      <c r="H226" s="147"/>
      <c r="I226" s="147"/>
      <c r="J226" s="147">
        <f t="shared" si="39"/>
        <v>0</v>
      </c>
      <c r="K226" s="145">
        <f>C226-I226</f>
        <v>0</v>
      </c>
      <c r="L226" s="147"/>
    </row>
    <row r="227" spans="1:12" ht="11.25" customHeight="1">
      <c r="A227" s="64" t="s">
        <v>249</v>
      </c>
      <c r="B227" s="147">
        <f>SUM(B228:B231)</f>
        <v>0</v>
      </c>
      <c r="C227" s="147">
        <f>SUM(C228:C231)</f>
        <v>0</v>
      </c>
      <c r="D227" s="147">
        <f>SUM(D228:D231)</f>
        <v>0</v>
      </c>
      <c r="E227" s="147">
        <f>SUM(E228:E231)</f>
        <v>0</v>
      </c>
      <c r="F227" s="147">
        <f t="shared" si="38"/>
        <v>0</v>
      </c>
      <c r="G227" s="147">
        <f>SUM(G228:G231)</f>
        <v>0</v>
      </c>
      <c r="H227" s="147">
        <f>SUM(H228:H231)</f>
        <v>0</v>
      </c>
      <c r="I227" s="147">
        <f>SUM(I228:I231)</f>
        <v>0</v>
      </c>
      <c r="J227" s="147">
        <f t="shared" si="39"/>
        <v>0</v>
      </c>
      <c r="K227" s="145">
        <f>SUM(K228:K231)</f>
        <v>0</v>
      </c>
      <c r="L227" s="147">
        <f>SUM(L228:L231)</f>
        <v>0</v>
      </c>
    </row>
    <row r="228" spans="1:12" ht="11.25" customHeight="1">
      <c r="A228" s="65" t="s">
        <v>364</v>
      </c>
      <c r="B228" s="147"/>
      <c r="C228" s="147"/>
      <c r="D228" s="147"/>
      <c r="E228" s="147"/>
      <c r="F228" s="147">
        <f t="shared" si="38"/>
        <v>0</v>
      </c>
      <c r="G228" s="147">
        <f>C228-E228</f>
        <v>0</v>
      </c>
      <c r="H228" s="147"/>
      <c r="I228" s="147"/>
      <c r="J228" s="147">
        <f t="shared" si="39"/>
        <v>0</v>
      </c>
      <c r="K228" s="145">
        <f>C228-I228</f>
        <v>0</v>
      </c>
      <c r="L228" s="147"/>
    </row>
    <row r="229" spans="1:12" ht="11.25" customHeight="1">
      <c r="A229" s="65" t="s">
        <v>365</v>
      </c>
      <c r="B229" s="147"/>
      <c r="C229" s="147"/>
      <c r="D229" s="147"/>
      <c r="E229" s="147"/>
      <c r="F229" s="147">
        <f t="shared" si="38"/>
        <v>0</v>
      </c>
      <c r="G229" s="147">
        <f>C229-E229</f>
        <v>0</v>
      </c>
      <c r="H229" s="147"/>
      <c r="I229" s="147"/>
      <c r="J229" s="147">
        <f t="shared" si="39"/>
        <v>0</v>
      </c>
      <c r="K229" s="145">
        <f>C229-I229</f>
        <v>0</v>
      </c>
      <c r="L229" s="147"/>
    </row>
    <row r="230" spans="1:12" ht="11.25" customHeight="1">
      <c r="A230" s="65" t="s">
        <v>369</v>
      </c>
      <c r="B230" s="147"/>
      <c r="C230" s="147"/>
      <c r="D230" s="147"/>
      <c r="E230" s="147"/>
      <c r="F230" s="147">
        <f t="shared" si="38"/>
        <v>0</v>
      </c>
      <c r="G230" s="147">
        <f>C230-E230</f>
        <v>0</v>
      </c>
      <c r="H230" s="147"/>
      <c r="I230" s="147"/>
      <c r="J230" s="147">
        <f t="shared" si="39"/>
        <v>0</v>
      </c>
      <c r="K230" s="145">
        <f>C230-I230</f>
        <v>0</v>
      </c>
      <c r="L230" s="147"/>
    </row>
    <row r="231" spans="1:12" ht="11.25" customHeight="1">
      <c r="A231" s="65" t="s">
        <v>363</v>
      </c>
      <c r="B231" s="147"/>
      <c r="C231" s="147"/>
      <c r="D231" s="147"/>
      <c r="E231" s="147"/>
      <c r="F231" s="147">
        <f t="shared" si="38"/>
        <v>0</v>
      </c>
      <c r="G231" s="147">
        <f>C231-E231</f>
        <v>0</v>
      </c>
      <c r="H231" s="147"/>
      <c r="I231" s="147"/>
      <c r="J231" s="147">
        <f t="shared" si="39"/>
        <v>0</v>
      </c>
      <c r="K231" s="145">
        <f>C231-I231</f>
        <v>0</v>
      </c>
      <c r="L231" s="147"/>
    </row>
    <row r="232" spans="1:12" ht="11.25" customHeight="1">
      <c r="A232" s="64" t="s">
        <v>250</v>
      </c>
      <c r="B232" s="147">
        <f>SUM(B233:B236)</f>
        <v>0</v>
      </c>
      <c r="C232" s="147">
        <f>SUM(C233:C236)</f>
        <v>0</v>
      </c>
      <c r="D232" s="147">
        <f>SUM(D233:D236)</f>
        <v>0</v>
      </c>
      <c r="E232" s="147">
        <f>SUM(E233:E236)</f>
        <v>0</v>
      </c>
      <c r="F232" s="147">
        <f t="shared" si="38"/>
        <v>0</v>
      </c>
      <c r="G232" s="147">
        <f>SUM(G233:G236)</f>
        <v>0</v>
      </c>
      <c r="H232" s="147">
        <f>SUM(H233:H236)</f>
        <v>0</v>
      </c>
      <c r="I232" s="147">
        <f>SUM(I233:I236)</f>
        <v>0</v>
      </c>
      <c r="J232" s="147">
        <f t="shared" si="39"/>
        <v>0</v>
      </c>
      <c r="K232" s="145">
        <f>SUM(K233:K236)</f>
        <v>0</v>
      </c>
      <c r="L232" s="147">
        <f>SUM(L233:L236)</f>
        <v>0</v>
      </c>
    </row>
    <row r="233" spans="1:12" ht="11.25" customHeight="1">
      <c r="A233" s="65" t="s">
        <v>366</v>
      </c>
      <c r="B233" s="147"/>
      <c r="C233" s="147"/>
      <c r="D233" s="147"/>
      <c r="E233" s="147"/>
      <c r="F233" s="147">
        <f t="shared" si="38"/>
        <v>0</v>
      </c>
      <c r="G233" s="147">
        <f>C233-E233</f>
        <v>0</v>
      </c>
      <c r="H233" s="147"/>
      <c r="I233" s="147"/>
      <c r="J233" s="147">
        <f t="shared" si="39"/>
        <v>0</v>
      </c>
      <c r="K233" s="145">
        <f>C233-I233</f>
        <v>0</v>
      </c>
      <c r="L233" s="147"/>
    </row>
    <row r="234" spans="1:12" ht="11.25" customHeight="1">
      <c r="A234" s="65" t="s">
        <v>367</v>
      </c>
      <c r="B234" s="147"/>
      <c r="C234" s="147"/>
      <c r="D234" s="147"/>
      <c r="E234" s="147"/>
      <c r="F234" s="147">
        <f t="shared" si="38"/>
        <v>0</v>
      </c>
      <c r="G234" s="147">
        <f>C234-E234</f>
        <v>0</v>
      </c>
      <c r="H234" s="147"/>
      <c r="I234" s="147"/>
      <c r="J234" s="147">
        <f t="shared" si="39"/>
        <v>0</v>
      </c>
      <c r="K234" s="145">
        <f>C234-I234</f>
        <v>0</v>
      </c>
      <c r="L234" s="147"/>
    </row>
    <row r="235" spans="1:12" ht="11.25" customHeight="1">
      <c r="A235" s="65" t="s">
        <v>369</v>
      </c>
      <c r="B235" s="147"/>
      <c r="C235" s="147"/>
      <c r="D235" s="147"/>
      <c r="E235" s="147"/>
      <c r="F235" s="147">
        <f t="shared" si="38"/>
        <v>0</v>
      </c>
      <c r="G235" s="147">
        <f>C235-E235</f>
        <v>0</v>
      </c>
      <c r="H235" s="147"/>
      <c r="I235" s="147"/>
      <c r="J235" s="147">
        <f t="shared" si="39"/>
        <v>0</v>
      </c>
      <c r="K235" s="145">
        <f>C235-I235</f>
        <v>0</v>
      </c>
      <c r="L235" s="147"/>
    </row>
    <row r="236" spans="1:12" ht="11.25" customHeight="1">
      <c r="A236" s="65" t="s">
        <v>363</v>
      </c>
      <c r="B236" s="147"/>
      <c r="C236" s="147"/>
      <c r="D236" s="147"/>
      <c r="E236" s="147"/>
      <c r="F236" s="147">
        <f t="shared" si="38"/>
        <v>0</v>
      </c>
      <c r="G236" s="147">
        <f>C236-E236</f>
        <v>0</v>
      </c>
      <c r="H236" s="147"/>
      <c r="I236" s="147"/>
      <c r="J236" s="147">
        <f t="shared" si="39"/>
        <v>0</v>
      </c>
      <c r="K236" s="145">
        <f>C236-I236</f>
        <v>0</v>
      </c>
      <c r="L236" s="147"/>
    </row>
    <row r="237" spans="1:12" ht="11.25" customHeight="1">
      <c r="A237" s="64" t="s">
        <v>258</v>
      </c>
      <c r="B237" s="147">
        <f>SUM(B238:B249)</f>
        <v>8740000</v>
      </c>
      <c r="C237" s="147">
        <f>SUM(C238:C249)</f>
        <v>8740000</v>
      </c>
      <c r="D237" s="147">
        <f>SUM(D238:D249)</f>
        <v>1208202.5400000003</v>
      </c>
      <c r="E237" s="147">
        <f>SUM(E238:E249)</f>
        <v>2522226.62</v>
      </c>
      <c r="F237" s="147">
        <f t="shared" si="38"/>
        <v>0.4681151843882477</v>
      </c>
      <c r="G237" s="147">
        <f>SUM(G238:G249)</f>
        <v>6217773.380000001</v>
      </c>
      <c r="H237" s="147">
        <f>SUM(H238:H249)</f>
        <v>1210268.5400000003</v>
      </c>
      <c r="I237" s="147">
        <f>SUM(I238:I249)</f>
        <v>2401714.62</v>
      </c>
      <c r="J237" s="147">
        <f t="shared" si="39"/>
        <v>0.7258869514185505</v>
      </c>
      <c r="K237" s="145">
        <f>SUM(K238:K249)</f>
        <v>6338285.380000001</v>
      </c>
      <c r="L237" s="147">
        <f>SUM(L238:L249)</f>
        <v>0</v>
      </c>
    </row>
    <row r="238" spans="1:12" ht="11.25" customHeight="1">
      <c r="A238" s="65" t="s">
        <v>368</v>
      </c>
      <c r="B238" s="147"/>
      <c r="C238" s="147"/>
      <c r="D238" s="147"/>
      <c r="E238" s="147"/>
      <c r="F238" s="147">
        <f t="shared" si="38"/>
        <v>0</v>
      </c>
      <c r="G238" s="147">
        <f aca="true" t="shared" si="40" ref="G238:G249">C238-E238</f>
        <v>0</v>
      </c>
      <c r="H238" s="147"/>
      <c r="I238" s="147"/>
      <c r="J238" s="147">
        <f t="shared" si="39"/>
        <v>0</v>
      </c>
      <c r="K238" s="145">
        <f aca="true" t="shared" si="41" ref="K238:K249">C238-I238</f>
        <v>0</v>
      </c>
      <c r="L238" s="147"/>
    </row>
    <row r="239" spans="1:12" ht="11.25" customHeight="1">
      <c r="A239" s="65" t="s">
        <v>369</v>
      </c>
      <c r="B239" s="147">
        <v>4885000</v>
      </c>
      <c r="C239" s="147">
        <v>4885000</v>
      </c>
      <c r="D239" s="147">
        <v>679541.17</v>
      </c>
      <c r="E239" s="147">
        <v>1464582.57</v>
      </c>
      <c r="F239" s="147">
        <f t="shared" si="38"/>
        <v>0.27182067399136545</v>
      </c>
      <c r="G239" s="147">
        <f t="shared" si="40"/>
        <v>3420417.4299999997</v>
      </c>
      <c r="H239" s="147">
        <v>680599.17</v>
      </c>
      <c r="I239" s="147">
        <v>1349530.57</v>
      </c>
      <c r="J239" s="147">
        <f t="shared" si="39"/>
        <v>0.40787803144714957</v>
      </c>
      <c r="K239" s="145">
        <f t="shared" si="41"/>
        <v>3535469.4299999997</v>
      </c>
      <c r="L239" s="147"/>
    </row>
    <row r="240" spans="1:12" ht="11.25" customHeight="1">
      <c r="A240" s="65" t="s">
        <v>370</v>
      </c>
      <c r="B240" s="147">
        <v>1655000</v>
      </c>
      <c r="C240" s="147">
        <v>1655000</v>
      </c>
      <c r="D240" s="147">
        <v>230465.69</v>
      </c>
      <c r="E240" s="147">
        <v>462276.86</v>
      </c>
      <c r="F240" s="147">
        <f t="shared" si="38"/>
        <v>0.08579673842206935</v>
      </c>
      <c r="G240" s="147">
        <f t="shared" si="40"/>
        <v>1192723.1400000001</v>
      </c>
      <c r="H240" s="147">
        <v>231473.69</v>
      </c>
      <c r="I240" s="147">
        <v>456816.86</v>
      </c>
      <c r="J240" s="147">
        <f t="shared" si="39"/>
        <v>0.13806694396605487</v>
      </c>
      <c r="K240" s="145">
        <f t="shared" si="41"/>
        <v>1198183.1400000001</v>
      </c>
      <c r="L240" s="147"/>
    </row>
    <row r="241" spans="1:12" ht="11.25" customHeight="1">
      <c r="A241" s="65" t="s">
        <v>371</v>
      </c>
      <c r="B241" s="147">
        <v>205000</v>
      </c>
      <c r="C241" s="147">
        <v>205000</v>
      </c>
      <c r="D241" s="147">
        <v>19995.11</v>
      </c>
      <c r="E241" s="147">
        <v>39990.22</v>
      </c>
      <c r="F241" s="147">
        <f t="shared" si="38"/>
        <v>0.007422025071254933</v>
      </c>
      <c r="G241" s="147">
        <f t="shared" si="40"/>
        <v>165009.78</v>
      </c>
      <c r="H241" s="147">
        <v>19995.11</v>
      </c>
      <c r="I241" s="147">
        <v>39990.22</v>
      </c>
      <c r="J241" s="147">
        <f t="shared" si="39"/>
        <v>0.012086522953487767</v>
      </c>
      <c r="K241" s="145">
        <f t="shared" si="41"/>
        <v>165009.78</v>
      </c>
      <c r="L241" s="147"/>
    </row>
    <row r="242" spans="1:12" ht="11.25" customHeight="1">
      <c r="A242" s="65" t="s">
        <v>372</v>
      </c>
      <c r="B242" s="147"/>
      <c r="C242" s="147"/>
      <c r="D242" s="147"/>
      <c r="E242" s="147"/>
      <c r="F242" s="147">
        <f t="shared" si="38"/>
        <v>0</v>
      </c>
      <c r="G242" s="147">
        <f t="shared" si="40"/>
        <v>0</v>
      </c>
      <c r="H242" s="147"/>
      <c r="I242" s="147"/>
      <c r="J242" s="147">
        <f t="shared" si="39"/>
        <v>0</v>
      </c>
      <c r="K242" s="145">
        <f t="shared" si="41"/>
        <v>0</v>
      </c>
      <c r="L242" s="147"/>
    </row>
    <row r="243" spans="1:12" ht="11.25" customHeight="1">
      <c r="A243" s="65" t="s">
        <v>373</v>
      </c>
      <c r="B243" s="147"/>
      <c r="C243" s="147"/>
      <c r="D243" s="147"/>
      <c r="E243" s="147"/>
      <c r="F243" s="147">
        <f t="shared" si="38"/>
        <v>0</v>
      </c>
      <c r="G243" s="147">
        <f t="shared" si="40"/>
        <v>0</v>
      </c>
      <c r="H243" s="147"/>
      <c r="I243" s="147"/>
      <c r="J243" s="147">
        <f t="shared" si="39"/>
        <v>0</v>
      </c>
      <c r="K243" s="145">
        <f t="shared" si="41"/>
        <v>0</v>
      </c>
      <c r="L243" s="147"/>
    </row>
    <row r="244" spans="1:12" ht="11.25" customHeight="1">
      <c r="A244" s="65" t="s">
        <v>374</v>
      </c>
      <c r="B244" s="147">
        <v>1220000</v>
      </c>
      <c r="C244" s="147">
        <v>1220000</v>
      </c>
      <c r="D244" s="147">
        <v>164103.47</v>
      </c>
      <c r="E244" s="147">
        <v>327459.16</v>
      </c>
      <c r="F244" s="147">
        <f t="shared" si="38"/>
        <v>0.0607751118981611</v>
      </c>
      <c r="G244" s="147">
        <f t="shared" si="40"/>
        <v>892540.8400000001</v>
      </c>
      <c r="H244" s="147">
        <v>164103.47</v>
      </c>
      <c r="I244" s="147">
        <v>327459.16</v>
      </c>
      <c r="J244" s="147">
        <f t="shared" si="39"/>
        <v>0.09897026457143328</v>
      </c>
      <c r="K244" s="145">
        <f t="shared" si="41"/>
        <v>892540.8400000001</v>
      </c>
      <c r="L244" s="147"/>
    </row>
    <row r="245" spans="1:12" ht="11.25" customHeight="1">
      <c r="A245" s="65" t="s">
        <v>375</v>
      </c>
      <c r="B245" s="147"/>
      <c r="C245" s="147"/>
      <c r="D245" s="147"/>
      <c r="E245" s="147"/>
      <c r="F245" s="147">
        <f t="shared" si="38"/>
        <v>0</v>
      </c>
      <c r="G245" s="147">
        <f t="shared" si="40"/>
        <v>0</v>
      </c>
      <c r="H245" s="147"/>
      <c r="I245" s="147"/>
      <c r="J245" s="147">
        <f t="shared" si="39"/>
        <v>0</v>
      </c>
      <c r="K245" s="145">
        <f t="shared" si="41"/>
        <v>0</v>
      </c>
      <c r="L245" s="147"/>
    </row>
    <row r="246" spans="1:12" ht="11.25" customHeight="1">
      <c r="A246" s="65" t="s">
        <v>376</v>
      </c>
      <c r="B246" s="147"/>
      <c r="C246" s="147"/>
      <c r="D246" s="147"/>
      <c r="E246" s="147"/>
      <c r="F246" s="147">
        <f t="shared" si="38"/>
        <v>0</v>
      </c>
      <c r="G246" s="147">
        <f t="shared" si="40"/>
        <v>0</v>
      </c>
      <c r="H246" s="147"/>
      <c r="I246" s="147"/>
      <c r="J246" s="147">
        <f t="shared" si="39"/>
        <v>0</v>
      </c>
      <c r="K246" s="145">
        <f t="shared" si="41"/>
        <v>0</v>
      </c>
      <c r="L246" s="147"/>
    </row>
    <row r="247" spans="1:12" ht="11.25" customHeight="1">
      <c r="A247" s="65" t="s">
        <v>377</v>
      </c>
      <c r="B247" s="147"/>
      <c r="C247" s="147"/>
      <c r="D247" s="147"/>
      <c r="E247" s="147"/>
      <c r="F247" s="147">
        <f t="shared" si="38"/>
        <v>0</v>
      </c>
      <c r="G247" s="147">
        <f t="shared" si="40"/>
        <v>0</v>
      </c>
      <c r="H247" s="147"/>
      <c r="I247" s="147"/>
      <c r="J247" s="147">
        <f t="shared" si="39"/>
        <v>0</v>
      </c>
      <c r="K247" s="145">
        <f t="shared" si="41"/>
        <v>0</v>
      </c>
      <c r="L247" s="147"/>
    </row>
    <row r="248" spans="1:12" ht="11.25" customHeight="1">
      <c r="A248" s="65" t="s">
        <v>378</v>
      </c>
      <c r="B248" s="147">
        <v>775000</v>
      </c>
      <c r="C248" s="147">
        <v>775000</v>
      </c>
      <c r="D248" s="147">
        <v>114097.1</v>
      </c>
      <c r="E248" s="147">
        <v>227917.81</v>
      </c>
      <c r="F248" s="147">
        <f t="shared" si="38"/>
        <v>0.04230063500539677</v>
      </c>
      <c r="G248" s="147">
        <f t="shared" si="40"/>
        <v>547082.19</v>
      </c>
      <c r="H248" s="147">
        <v>114097.1</v>
      </c>
      <c r="I248" s="147">
        <v>227917.81</v>
      </c>
      <c r="J248" s="147">
        <f t="shared" si="39"/>
        <v>0.06888518848042505</v>
      </c>
      <c r="K248" s="145">
        <f t="shared" si="41"/>
        <v>547082.19</v>
      </c>
      <c r="L248" s="147"/>
    </row>
    <row r="249" spans="1:12" ht="11.25" customHeight="1">
      <c r="A249" s="65" t="s">
        <v>363</v>
      </c>
      <c r="B249" s="147"/>
      <c r="C249" s="147"/>
      <c r="D249" s="147"/>
      <c r="E249" s="147"/>
      <c r="F249" s="147">
        <f t="shared" si="38"/>
        <v>0</v>
      </c>
      <c r="G249" s="147">
        <f t="shared" si="40"/>
        <v>0</v>
      </c>
      <c r="H249" s="147"/>
      <c r="I249" s="147"/>
      <c r="J249" s="147">
        <f t="shared" si="39"/>
        <v>0</v>
      </c>
      <c r="K249" s="145">
        <f t="shared" si="41"/>
        <v>0</v>
      </c>
      <c r="L249" s="147"/>
    </row>
    <row r="250" spans="1:12" ht="11.25" customHeight="1">
      <c r="A250" s="64" t="s">
        <v>259</v>
      </c>
      <c r="B250" s="147">
        <f>SUM(B251:B255)</f>
        <v>0</v>
      </c>
      <c r="C250" s="147">
        <f>SUM(C251:C255)</f>
        <v>0</v>
      </c>
      <c r="D250" s="147">
        <f>SUM(D251:D255)</f>
        <v>0</v>
      </c>
      <c r="E250" s="147">
        <f>SUM(E251:E255)</f>
        <v>0</v>
      </c>
      <c r="F250" s="147">
        <f t="shared" si="38"/>
        <v>0</v>
      </c>
      <c r="G250" s="147">
        <f>SUM(G251:G255)</f>
        <v>0</v>
      </c>
      <c r="H250" s="147">
        <f>SUM(H251:H255)</f>
        <v>0</v>
      </c>
      <c r="I250" s="147">
        <f>SUM(I251:I255)</f>
        <v>0</v>
      </c>
      <c r="J250" s="147">
        <f t="shared" si="39"/>
        <v>0</v>
      </c>
      <c r="K250" s="145">
        <f>SUM(K251:K255)</f>
        <v>0</v>
      </c>
      <c r="L250" s="147">
        <f>SUM(L251:L255)</f>
        <v>0</v>
      </c>
    </row>
    <row r="251" spans="1:12" ht="11.25" customHeight="1">
      <c r="A251" s="65" t="s">
        <v>379</v>
      </c>
      <c r="B251" s="147"/>
      <c r="C251" s="147"/>
      <c r="D251" s="147"/>
      <c r="E251" s="147"/>
      <c r="F251" s="147">
        <f t="shared" si="38"/>
        <v>0</v>
      </c>
      <c r="G251" s="147">
        <f>C251-E251</f>
        <v>0</v>
      </c>
      <c r="H251" s="147"/>
      <c r="I251" s="147"/>
      <c r="J251" s="147">
        <f t="shared" si="39"/>
        <v>0</v>
      </c>
      <c r="K251" s="145">
        <f>C251-I251</f>
        <v>0</v>
      </c>
      <c r="L251" s="147"/>
    </row>
    <row r="252" spans="1:12" ht="11.25" customHeight="1">
      <c r="A252" s="65" t="s">
        <v>380</v>
      </c>
      <c r="B252" s="147"/>
      <c r="C252" s="147"/>
      <c r="D252" s="147"/>
      <c r="E252" s="147"/>
      <c r="F252" s="147">
        <f t="shared" si="38"/>
        <v>0</v>
      </c>
      <c r="G252" s="147">
        <f>C252-E252</f>
        <v>0</v>
      </c>
      <c r="H252" s="147"/>
      <c r="I252" s="147"/>
      <c r="J252" s="147">
        <f t="shared" si="39"/>
        <v>0</v>
      </c>
      <c r="K252" s="145">
        <f>C252-I252</f>
        <v>0</v>
      </c>
      <c r="L252" s="147"/>
    </row>
    <row r="253" spans="1:12" ht="11.25" customHeight="1">
      <c r="A253" s="65" t="s">
        <v>381</v>
      </c>
      <c r="B253" s="147"/>
      <c r="C253" s="147"/>
      <c r="D253" s="147"/>
      <c r="E253" s="147"/>
      <c r="F253" s="147">
        <f aca="true" t="shared" si="42" ref="F253:F284">IF($E$213&gt;0,E253/$E$213,0)*100</f>
        <v>0</v>
      </c>
      <c r="G253" s="147">
        <f>C253-E253</f>
        <v>0</v>
      </c>
      <c r="H253" s="147"/>
      <c r="I253" s="147"/>
      <c r="J253" s="147">
        <f aca="true" t="shared" si="43" ref="J253:J284">IF($I$213&gt;0,I253/$I$213,0)*100</f>
        <v>0</v>
      </c>
      <c r="K253" s="145">
        <f>C253-I253</f>
        <v>0</v>
      </c>
      <c r="L253" s="147"/>
    </row>
    <row r="254" spans="1:12" ht="11.25" customHeight="1">
      <c r="A254" s="65" t="s">
        <v>369</v>
      </c>
      <c r="B254" s="147"/>
      <c r="C254" s="147"/>
      <c r="D254" s="147"/>
      <c r="E254" s="147"/>
      <c r="F254" s="147">
        <f t="shared" si="42"/>
        <v>0</v>
      </c>
      <c r="G254" s="147">
        <f>C254-E254</f>
        <v>0</v>
      </c>
      <c r="H254" s="147"/>
      <c r="I254" s="147"/>
      <c r="J254" s="147">
        <f t="shared" si="43"/>
        <v>0</v>
      </c>
      <c r="K254" s="145">
        <f>C254-I254</f>
        <v>0</v>
      </c>
      <c r="L254" s="147"/>
    </row>
    <row r="255" spans="1:12" ht="11.25" customHeight="1">
      <c r="A255" s="65" t="s">
        <v>363</v>
      </c>
      <c r="B255" s="147"/>
      <c r="C255" s="147"/>
      <c r="D255" s="147"/>
      <c r="E255" s="147"/>
      <c r="F255" s="147">
        <f t="shared" si="42"/>
        <v>0</v>
      </c>
      <c r="G255" s="147">
        <f>C255-E255</f>
        <v>0</v>
      </c>
      <c r="H255" s="147"/>
      <c r="I255" s="147"/>
      <c r="J255" s="147">
        <f t="shared" si="43"/>
        <v>0</v>
      </c>
      <c r="K255" s="145">
        <f>C255-I255</f>
        <v>0</v>
      </c>
      <c r="L255" s="147"/>
    </row>
    <row r="256" spans="1:12" ht="11.25" customHeight="1">
      <c r="A256" s="64" t="s">
        <v>260</v>
      </c>
      <c r="B256" s="147">
        <f>SUM(B257:B261)</f>
        <v>7160000</v>
      </c>
      <c r="C256" s="147">
        <f>SUM(C257:C261)</f>
        <v>7160000</v>
      </c>
      <c r="D256" s="147">
        <f>SUM(D257:D261)</f>
        <v>1209515.17</v>
      </c>
      <c r="E256" s="147">
        <f>SUM(E257:E261)</f>
        <v>2276763.03</v>
      </c>
      <c r="F256" s="147">
        <f t="shared" si="42"/>
        <v>0.42255812271016124</v>
      </c>
      <c r="G256" s="147">
        <f>SUM(G257:G261)</f>
        <v>4883236.970000001</v>
      </c>
      <c r="H256" s="147">
        <f>SUM(H257:H261)</f>
        <v>1209951.17</v>
      </c>
      <c r="I256" s="147">
        <f>SUM(I257:I261)</f>
        <v>2271689.03</v>
      </c>
      <c r="J256" s="147">
        <f t="shared" si="43"/>
        <v>0.6865884109735169</v>
      </c>
      <c r="K256" s="145">
        <f>SUM(K257:K261)</f>
        <v>4888310.970000001</v>
      </c>
      <c r="L256" s="147">
        <f>SUM(L257:L261)</f>
        <v>0</v>
      </c>
    </row>
    <row r="257" spans="1:12" ht="11.25" customHeight="1">
      <c r="A257" s="65" t="s">
        <v>382</v>
      </c>
      <c r="B257" s="147"/>
      <c r="C257" s="147"/>
      <c r="D257" s="147"/>
      <c r="E257" s="147"/>
      <c r="F257" s="147">
        <f t="shared" si="42"/>
        <v>0</v>
      </c>
      <c r="G257" s="147">
        <f>C257-E257</f>
        <v>0</v>
      </c>
      <c r="H257" s="147"/>
      <c r="I257" s="147"/>
      <c r="J257" s="147">
        <f t="shared" si="43"/>
        <v>0</v>
      </c>
      <c r="K257" s="145">
        <f>C257-I257</f>
        <v>0</v>
      </c>
      <c r="L257" s="147"/>
    </row>
    <row r="258" spans="1:12" ht="11.25" customHeight="1">
      <c r="A258" s="65" t="s">
        <v>383</v>
      </c>
      <c r="B258" s="147">
        <v>7160000</v>
      </c>
      <c r="C258" s="147">
        <v>7160000</v>
      </c>
      <c r="D258" s="147">
        <v>1209515.17</v>
      </c>
      <c r="E258" s="147">
        <v>2276763.03</v>
      </c>
      <c r="F258" s="147">
        <f t="shared" si="42"/>
        <v>0.42255812271016124</v>
      </c>
      <c r="G258" s="147">
        <f>C258-E258</f>
        <v>4883236.970000001</v>
      </c>
      <c r="H258" s="147">
        <v>1209951.17</v>
      </c>
      <c r="I258" s="147">
        <v>2271689.03</v>
      </c>
      <c r="J258" s="147">
        <f t="shared" si="43"/>
        <v>0.6865884109735169</v>
      </c>
      <c r="K258" s="145">
        <f>C258-I258</f>
        <v>4888310.970000001</v>
      </c>
      <c r="L258" s="147"/>
    </row>
    <row r="259" spans="1:12" ht="11.25" customHeight="1">
      <c r="A259" s="65" t="s">
        <v>384</v>
      </c>
      <c r="B259" s="147"/>
      <c r="C259" s="147"/>
      <c r="D259" s="147"/>
      <c r="E259" s="147"/>
      <c r="F259" s="147">
        <f t="shared" si="42"/>
        <v>0</v>
      </c>
      <c r="G259" s="147">
        <f>C259-E259</f>
        <v>0</v>
      </c>
      <c r="H259" s="147"/>
      <c r="I259" s="147"/>
      <c r="J259" s="147">
        <f t="shared" si="43"/>
        <v>0</v>
      </c>
      <c r="K259" s="145">
        <f>C259-I259</f>
        <v>0</v>
      </c>
      <c r="L259" s="147"/>
    </row>
    <row r="260" spans="1:12" ht="11.25" customHeight="1">
      <c r="A260" s="65" t="s">
        <v>369</v>
      </c>
      <c r="B260" s="147"/>
      <c r="C260" s="147"/>
      <c r="D260" s="147"/>
      <c r="E260" s="147"/>
      <c r="F260" s="147">
        <f t="shared" si="42"/>
        <v>0</v>
      </c>
      <c r="G260" s="147">
        <f>C260-E260</f>
        <v>0</v>
      </c>
      <c r="H260" s="147"/>
      <c r="I260" s="147"/>
      <c r="J260" s="147">
        <f t="shared" si="43"/>
        <v>0</v>
      </c>
      <c r="K260" s="145">
        <f>C260-I260</f>
        <v>0</v>
      </c>
      <c r="L260" s="147"/>
    </row>
    <row r="261" spans="1:12" ht="11.25" customHeight="1">
      <c r="A261" s="65" t="s">
        <v>363</v>
      </c>
      <c r="B261" s="147"/>
      <c r="C261" s="147"/>
      <c r="D261" s="147"/>
      <c r="E261" s="147"/>
      <c r="F261" s="147">
        <f t="shared" si="42"/>
        <v>0</v>
      </c>
      <c r="G261" s="147">
        <f>C261-E261</f>
        <v>0</v>
      </c>
      <c r="H261" s="147"/>
      <c r="I261" s="147"/>
      <c r="J261" s="147">
        <f t="shared" si="43"/>
        <v>0</v>
      </c>
      <c r="K261" s="145">
        <f>C261-I261</f>
        <v>0</v>
      </c>
      <c r="L261" s="147"/>
    </row>
    <row r="262" spans="1:12" ht="11.25" customHeight="1">
      <c r="A262" s="64" t="s">
        <v>261</v>
      </c>
      <c r="B262" s="147">
        <f>SUM(B263:B266)</f>
        <v>0</v>
      </c>
      <c r="C262" s="147">
        <f>SUM(C263:C266)</f>
        <v>0</v>
      </c>
      <c r="D262" s="147">
        <f>SUM(D263:D266)</f>
        <v>0</v>
      </c>
      <c r="E262" s="147">
        <f>SUM(E263:E266)</f>
        <v>0</v>
      </c>
      <c r="F262" s="147">
        <f t="shared" si="42"/>
        <v>0</v>
      </c>
      <c r="G262" s="147">
        <f>SUM(G263:G266)</f>
        <v>0</v>
      </c>
      <c r="H262" s="147">
        <f>SUM(H263:H266)</f>
        <v>0</v>
      </c>
      <c r="I262" s="147">
        <f>SUM(I263:I266)</f>
        <v>0</v>
      </c>
      <c r="J262" s="147">
        <f t="shared" si="43"/>
        <v>0</v>
      </c>
      <c r="K262" s="145">
        <f>SUM(K263:K266)</f>
        <v>0</v>
      </c>
      <c r="L262" s="147">
        <f>SUM(L263:L266)</f>
        <v>0</v>
      </c>
    </row>
    <row r="263" spans="1:12" ht="11.25" customHeight="1">
      <c r="A263" s="65" t="s">
        <v>385</v>
      </c>
      <c r="B263" s="147"/>
      <c r="C263" s="147"/>
      <c r="D263" s="147"/>
      <c r="E263" s="147"/>
      <c r="F263" s="147">
        <f t="shared" si="42"/>
        <v>0</v>
      </c>
      <c r="G263" s="147">
        <f>C263-E263</f>
        <v>0</v>
      </c>
      <c r="H263" s="147"/>
      <c r="I263" s="147"/>
      <c r="J263" s="147">
        <f t="shared" si="43"/>
        <v>0</v>
      </c>
      <c r="K263" s="145">
        <f>C263-I263</f>
        <v>0</v>
      </c>
      <c r="L263" s="147"/>
    </row>
    <row r="264" spans="1:12" ht="11.25" customHeight="1">
      <c r="A264" s="65" t="s">
        <v>386</v>
      </c>
      <c r="B264" s="147"/>
      <c r="C264" s="147"/>
      <c r="D264" s="147"/>
      <c r="E264" s="147"/>
      <c r="F264" s="147">
        <f t="shared" si="42"/>
        <v>0</v>
      </c>
      <c r="G264" s="147">
        <f>C264-E264</f>
        <v>0</v>
      </c>
      <c r="H264" s="147"/>
      <c r="I264" s="147"/>
      <c r="J264" s="147">
        <f t="shared" si="43"/>
        <v>0</v>
      </c>
      <c r="K264" s="145">
        <f>C264-I264</f>
        <v>0</v>
      </c>
      <c r="L264" s="147"/>
    </row>
    <row r="265" spans="1:12" ht="11.25" customHeight="1">
      <c r="A265" s="65" t="s">
        <v>369</v>
      </c>
      <c r="B265" s="147"/>
      <c r="C265" s="147"/>
      <c r="D265" s="147"/>
      <c r="E265" s="147"/>
      <c r="F265" s="147">
        <f t="shared" si="42"/>
        <v>0</v>
      </c>
      <c r="G265" s="147">
        <f>C265-E265</f>
        <v>0</v>
      </c>
      <c r="H265" s="147"/>
      <c r="I265" s="147"/>
      <c r="J265" s="147">
        <f t="shared" si="43"/>
        <v>0</v>
      </c>
      <c r="K265" s="145">
        <f>C265-I265</f>
        <v>0</v>
      </c>
      <c r="L265" s="147"/>
    </row>
    <row r="266" spans="1:12" ht="11.25" customHeight="1">
      <c r="A266" s="65" t="s">
        <v>363</v>
      </c>
      <c r="B266" s="147"/>
      <c r="C266" s="147"/>
      <c r="D266" s="147"/>
      <c r="E266" s="147"/>
      <c r="F266" s="147">
        <f t="shared" si="42"/>
        <v>0</v>
      </c>
      <c r="G266" s="147">
        <f>C266-E266</f>
        <v>0</v>
      </c>
      <c r="H266" s="147"/>
      <c r="I266" s="147"/>
      <c r="J266" s="147">
        <f t="shared" si="43"/>
        <v>0</v>
      </c>
      <c r="K266" s="145">
        <f>C266-I266</f>
        <v>0</v>
      </c>
      <c r="L266" s="147"/>
    </row>
    <row r="267" spans="1:12" ht="11.25" customHeight="1">
      <c r="A267" s="64" t="s">
        <v>262</v>
      </c>
      <c r="B267" s="147">
        <f>SUM(B268:B273)</f>
        <v>2210100</v>
      </c>
      <c r="C267" s="147">
        <f>SUM(C268:C273)</f>
        <v>2210100</v>
      </c>
      <c r="D267" s="147">
        <f>SUM(D268:D273)</f>
        <v>319470.29</v>
      </c>
      <c r="E267" s="147">
        <f>SUM(E268:E273)</f>
        <v>641021.35</v>
      </c>
      <c r="F267" s="147">
        <f t="shared" si="42"/>
        <v>0.11897100168265348</v>
      </c>
      <c r="G267" s="147">
        <f>SUM(G268:G273)</f>
        <v>1569078.65</v>
      </c>
      <c r="H267" s="147">
        <f>SUM(H268:H273)</f>
        <v>320126.29</v>
      </c>
      <c r="I267" s="147">
        <f>SUM(I268:I273)</f>
        <v>637635.35</v>
      </c>
      <c r="J267" s="147">
        <f t="shared" si="43"/>
        <v>0.19271697664404458</v>
      </c>
      <c r="K267" s="145">
        <f>SUM(K268:K273)</f>
        <v>1572464.65</v>
      </c>
      <c r="L267" s="147">
        <f>SUM(L268:L273)</f>
        <v>0</v>
      </c>
    </row>
    <row r="268" spans="1:12" ht="11.25" customHeight="1">
      <c r="A268" s="65" t="s">
        <v>387</v>
      </c>
      <c r="B268" s="147"/>
      <c r="C268" s="147"/>
      <c r="D268" s="147"/>
      <c r="E268" s="147"/>
      <c r="F268" s="147">
        <f t="shared" si="42"/>
        <v>0</v>
      </c>
      <c r="G268" s="147">
        <f aca="true" t="shared" si="44" ref="G268:G273">C268-E268</f>
        <v>0</v>
      </c>
      <c r="H268" s="147"/>
      <c r="I268" s="147"/>
      <c r="J268" s="147">
        <f t="shared" si="43"/>
        <v>0</v>
      </c>
      <c r="K268" s="145">
        <f aca="true" t="shared" si="45" ref="K268:K273">C268-I268</f>
        <v>0</v>
      </c>
      <c r="L268" s="147"/>
    </row>
    <row r="269" spans="1:12" ht="11.25" customHeight="1">
      <c r="A269" s="65" t="s">
        <v>388</v>
      </c>
      <c r="B269" s="147"/>
      <c r="C269" s="147"/>
      <c r="D269" s="147"/>
      <c r="E269" s="147"/>
      <c r="F269" s="147">
        <f t="shared" si="42"/>
        <v>0</v>
      </c>
      <c r="G269" s="147">
        <f t="shared" si="44"/>
        <v>0</v>
      </c>
      <c r="H269" s="147"/>
      <c r="I269" s="147"/>
      <c r="J269" s="147">
        <f t="shared" si="43"/>
        <v>0</v>
      </c>
      <c r="K269" s="145">
        <f t="shared" si="45"/>
        <v>0</v>
      </c>
      <c r="L269" s="147"/>
    </row>
    <row r="270" spans="1:12" ht="11.25" customHeight="1">
      <c r="A270" s="65" t="s">
        <v>389</v>
      </c>
      <c r="B270" s="147"/>
      <c r="C270" s="147"/>
      <c r="D270" s="147"/>
      <c r="E270" s="147"/>
      <c r="F270" s="147">
        <f t="shared" si="42"/>
        <v>0</v>
      </c>
      <c r="G270" s="147">
        <f t="shared" si="44"/>
        <v>0</v>
      </c>
      <c r="H270" s="147"/>
      <c r="I270" s="147"/>
      <c r="J270" s="147">
        <f t="shared" si="43"/>
        <v>0</v>
      </c>
      <c r="K270" s="145">
        <f t="shared" si="45"/>
        <v>0</v>
      </c>
      <c r="L270" s="147"/>
    </row>
    <row r="271" spans="1:12" ht="11.25" customHeight="1">
      <c r="A271" s="65" t="s">
        <v>390</v>
      </c>
      <c r="B271" s="147">
        <v>2210100</v>
      </c>
      <c r="C271" s="147">
        <v>2210100</v>
      </c>
      <c r="D271" s="147">
        <v>319470.29</v>
      </c>
      <c r="E271" s="147">
        <v>641021.35</v>
      </c>
      <c r="F271" s="147">
        <f t="shared" si="42"/>
        <v>0.11897100168265348</v>
      </c>
      <c r="G271" s="147">
        <f t="shared" si="44"/>
        <v>1569078.65</v>
      </c>
      <c r="H271" s="147">
        <v>320126.29</v>
      </c>
      <c r="I271" s="147">
        <v>637635.35</v>
      </c>
      <c r="J271" s="147">
        <f t="shared" si="43"/>
        <v>0.19271697664404458</v>
      </c>
      <c r="K271" s="145">
        <f t="shared" si="45"/>
        <v>1572464.65</v>
      </c>
      <c r="L271" s="147"/>
    </row>
    <row r="272" spans="1:12" ht="11.25" customHeight="1">
      <c r="A272" s="65" t="s">
        <v>369</v>
      </c>
      <c r="B272" s="147"/>
      <c r="C272" s="147"/>
      <c r="D272" s="147"/>
      <c r="E272" s="147"/>
      <c r="F272" s="147">
        <f t="shared" si="42"/>
        <v>0</v>
      </c>
      <c r="G272" s="147">
        <f t="shared" si="44"/>
        <v>0</v>
      </c>
      <c r="H272" s="147"/>
      <c r="I272" s="147"/>
      <c r="J272" s="147">
        <f t="shared" si="43"/>
        <v>0</v>
      </c>
      <c r="K272" s="145">
        <f t="shared" si="45"/>
        <v>0</v>
      </c>
      <c r="L272" s="147"/>
    </row>
    <row r="273" spans="1:12" ht="11.25" customHeight="1">
      <c r="A273" s="65" t="s">
        <v>363</v>
      </c>
      <c r="B273" s="147"/>
      <c r="C273" s="147"/>
      <c r="D273" s="147"/>
      <c r="E273" s="147"/>
      <c r="F273" s="147">
        <f t="shared" si="42"/>
        <v>0</v>
      </c>
      <c r="G273" s="147">
        <f t="shared" si="44"/>
        <v>0</v>
      </c>
      <c r="H273" s="147"/>
      <c r="I273" s="147"/>
      <c r="J273" s="147">
        <f t="shared" si="43"/>
        <v>0</v>
      </c>
      <c r="K273" s="145">
        <f t="shared" si="45"/>
        <v>0</v>
      </c>
      <c r="L273" s="147"/>
    </row>
    <row r="274" spans="1:12" ht="11.25" customHeight="1">
      <c r="A274" s="64" t="s">
        <v>263</v>
      </c>
      <c r="B274" s="147">
        <f>SUM(B275:B280)</f>
        <v>480000</v>
      </c>
      <c r="C274" s="147">
        <f>SUM(C275:C280)</f>
        <v>480000</v>
      </c>
      <c r="D274" s="147">
        <f>SUM(D275:D280)</f>
        <v>62178.22</v>
      </c>
      <c r="E274" s="147">
        <f>SUM(E275:E280)</f>
        <v>125988.04</v>
      </c>
      <c r="F274" s="147">
        <f t="shared" si="42"/>
        <v>0.023382876902359358</v>
      </c>
      <c r="G274" s="147">
        <f>SUM(G275:G280)</f>
        <v>354011.96</v>
      </c>
      <c r="H274" s="147">
        <f>SUM(H275:H280)</f>
        <v>62462.7</v>
      </c>
      <c r="I274" s="147">
        <f>SUM(I275:I280)</f>
        <v>123581.24</v>
      </c>
      <c r="J274" s="147">
        <f t="shared" si="43"/>
        <v>0.037350819622409694</v>
      </c>
      <c r="K274" s="145">
        <f>SUM(K275:K280)</f>
        <v>356418.76</v>
      </c>
      <c r="L274" s="147">
        <f>SUM(L275:L280)</f>
        <v>0</v>
      </c>
    </row>
    <row r="275" spans="1:12" ht="11.25" customHeight="1">
      <c r="A275" s="65" t="s">
        <v>391</v>
      </c>
      <c r="B275" s="147"/>
      <c r="C275" s="147"/>
      <c r="D275" s="147"/>
      <c r="E275" s="147"/>
      <c r="F275" s="147">
        <f t="shared" si="42"/>
        <v>0</v>
      </c>
      <c r="G275" s="147">
        <f aca="true" t="shared" si="46" ref="G275:G280">C275-E275</f>
        <v>0</v>
      </c>
      <c r="H275" s="147"/>
      <c r="I275" s="147"/>
      <c r="J275" s="147">
        <f t="shared" si="43"/>
        <v>0</v>
      </c>
      <c r="K275" s="145">
        <f aca="true" t="shared" si="47" ref="K275:K280">C275-I275</f>
        <v>0</v>
      </c>
      <c r="L275" s="147"/>
    </row>
    <row r="276" spans="1:12" ht="11.25" customHeight="1">
      <c r="A276" s="65" t="s">
        <v>392</v>
      </c>
      <c r="B276" s="147">
        <v>480000</v>
      </c>
      <c r="C276" s="147">
        <v>480000</v>
      </c>
      <c r="D276" s="147">
        <v>62178.22</v>
      </c>
      <c r="E276" s="147">
        <v>125988.04</v>
      </c>
      <c r="F276" s="147">
        <f t="shared" si="42"/>
        <v>0.023382876902359358</v>
      </c>
      <c r="G276" s="147">
        <f t="shared" si="46"/>
        <v>354011.96</v>
      </c>
      <c r="H276" s="147">
        <v>62462.7</v>
      </c>
      <c r="I276" s="147">
        <v>123581.24</v>
      </c>
      <c r="J276" s="147">
        <f t="shared" si="43"/>
        <v>0.037350819622409694</v>
      </c>
      <c r="K276" s="145">
        <f t="shared" si="47"/>
        <v>356418.76</v>
      </c>
      <c r="L276" s="147"/>
    </row>
    <row r="277" spans="1:12" ht="11.25" customHeight="1">
      <c r="A277" s="65" t="s">
        <v>393</v>
      </c>
      <c r="B277" s="147"/>
      <c r="C277" s="147"/>
      <c r="D277" s="147"/>
      <c r="E277" s="147"/>
      <c r="F277" s="147">
        <f t="shared" si="42"/>
        <v>0</v>
      </c>
      <c r="G277" s="147">
        <f t="shared" si="46"/>
        <v>0</v>
      </c>
      <c r="H277" s="147"/>
      <c r="I277" s="147"/>
      <c r="J277" s="147">
        <f t="shared" si="43"/>
        <v>0</v>
      </c>
      <c r="K277" s="145">
        <f t="shared" si="47"/>
        <v>0</v>
      </c>
      <c r="L277" s="147"/>
    </row>
    <row r="278" spans="1:12" ht="11.25" customHeight="1">
      <c r="A278" s="65" t="s">
        <v>394</v>
      </c>
      <c r="B278" s="147"/>
      <c r="C278" s="147"/>
      <c r="D278" s="147"/>
      <c r="E278" s="147"/>
      <c r="F278" s="147">
        <f t="shared" si="42"/>
        <v>0</v>
      </c>
      <c r="G278" s="147">
        <f t="shared" si="46"/>
        <v>0</v>
      </c>
      <c r="H278" s="147"/>
      <c r="I278" s="147"/>
      <c r="J278" s="147">
        <f t="shared" si="43"/>
        <v>0</v>
      </c>
      <c r="K278" s="145">
        <f t="shared" si="47"/>
        <v>0</v>
      </c>
      <c r="L278" s="147"/>
    </row>
    <row r="279" spans="1:12" ht="11.25" customHeight="1">
      <c r="A279" s="65" t="s">
        <v>369</v>
      </c>
      <c r="B279" s="147"/>
      <c r="C279" s="147"/>
      <c r="D279" s="147"/>
      <c r="E279" s="147"/>
      <c r="F279" s="147">
        <f t="shared" si="42"/>
        <v>0</v>
      </c>
      <c r="G279" s="147">
        <f t="shared" si="46"/>
        <v>0</v>
      </c>
      <c r="H279" s="147"/>
      <c r="I279" s="147"/>
      <c r="J279" s="147">
        <f t="shared" si="43"/>
        <v>0</v>
      </c>
      <c r="K279" s="145">
        <f t="shared" si="47"/>
        <v>0</v>
      </c>
      <c r="L279" s="147"/>
    </row>
    <row r="280" spans="1:12" ht="11.25" customHeight="1">
      <c r="A280" s="65" t="s">
        <v>363</v>
      </c>
      <c r="B280" s="147"/>
      <c r="C280" s="147"/>
      <c r="D280" s="147"/>
      <c r="E280" s="147"/>
      <c r="F280" s="147">
        <f t="shared" si="42"/>
        <v>0</v>
      </c>
      <c r="G280" s="147">
        <f t="shared" si="46"/>
        <v>0</v>
      </c>
      <c r="H280" s="147"/>
      <c r="I280" s="147"/>
      <c r="J280" s="147">
        <f t="shared" si="43"/>
        <v>0</v>
      </c>
      <c r="K280" s="145">
        <f t="shared" si="47"/>
        <v>0</v>
      </c>
      <c r="L280" s="147"/>
    </row>
    <row r="281" spans="1:12" ht="11.25" customHeight="1">
      <c r="A281" s="64" t="s">
        <v>264</v>
      </c>
      <c r="B281" s="147">
        <f>SUM(B282:B289)</f>
        <v>27898000</v>
      </c>
      <c r="C281" s="147">
        <f>SUM(C282:C289)</f>
        <v>27898000</v>
      </c>
      <c r="D281" s="147">
        <f>SUM(D282:D289)</f>
        <v>4407210.109999999</v>
      </c>
      <c r="E281" s="147">
        <f>SUM(E282:E289)</f>
        <v>9193914.01</v>
      </c>
      <c r="F281" s="147">
        <f t="shared" si="42"/>
        <v>1.7063537106117939</v>
      </c>
      <c r="G281" s="147">
        <f>SUM(G282:G289)</f>
        <v>18704085.990000002</v>
      </c>
      <c r="H281" s="147">
        <f>SUM(H282:H289)</f>
        <v>4455180.25</v>
      </c>
      <c r="I281" s="147">
        <f>SUM(I282:I289)</f>
        <v>8844627.22</v>
      </c>
      <c r="J281" s="147">
        <f t="shared" si="43"/>
        <v>2.67317333862061</v>
      </c>
      <c r="K281" s="145">
        <f>SUM(K282:K289)</f>
        <v>19053372.78</v>
      </c>
      <c r="L281" s="147">
        <f>SUM(L282:L289)</f>
        <v>0</v>
      </c>
    </row>
    <row r="282" spans="1:12" ht="11.25" customHeight="1">
      <c r="A282" s="65" t="s">
        <v>209</v>
      </c>
      <c r="B282" s="147">
        <v>9021000</v>
      </c>
      <c r="C282" s="147">
        <v>9021000</v>
      </c>
      <c r="D282" s="147">
        <v>1514864.54</v>
      </c>
      <c r="E282" s="147">
        <v>3016671.95</v>
      </c>
      <c r="F282" s="147">
        <f t="shared" si="42"/>
        <v>0.5598822623294272</v>
      </c>
      <c r="G282" s="147">
        <f aca="true" t="shared" si="48" ref="G282:G289">C282-E282</f>
        <v>6004328.05</v>
      </c>
      <c r="H282" s="147">
        <v>1514864.54</v>
      </c>
      <c r="I282" s="147">
        <v>3016671.95</v>
      </c>
      <c r="J282" s="147">
        <f t="shared" si="43"/>
        <v>0.9117497919945851</v>
      </c>
      <c r="K282" s="145">
        <f aca="true" t="shared" si="49" ref="K282:K289">C282-I282</f>
        <v>6004328.05</v>
      </c>
      <c r="L282" s="147"/>
    </row>
    <row r="283" spans="1:12" ht="11.25" customHeight="1">
      <c r="A283" s="65" t="s">
        <v>210</v>
      </c>
      <c r="B283" s="147">
        <v>14554000</v>
      </c>
      <c r="C283" s="147">
        <v>14554000</v>
      </c>
      <c r="D283" s="147">
        <v>2321425.76</v>
      </c>
      <c r="E283" s="147">
        <v>4637432.21</v>
      </c>
      <c r="F283" s="147">
        <f t="shared" si="42"/>
        <v>0.860688891655639</v>
      </c>
      <c r="G283" s="147">
        <f t="shared" si="48"/>
        <v>9916567.79</v>
      </c>
      <c r="H283" s="147">
        <v>2321425.76</v>
      </c>
      <c r="I283" s="147">
        <v>4637432.21</v>
      </c>
      <c r="J283" s="147">
        <f t="shared" si="43"/>
        <v>1.4016034633319971</v>
      </c>
      <c r="K283" s="145">
        <f t="shared" si="49"/>
        <v>9916567.79</v>
      </c>
      <c r="L283" s="147"/>
    </row>
    <row r="284" spans="1:12" ht="11.25" customHeight="1">
      <c r="A284" s="65" t="s">
        <v>211</v>
      </c>
      <c r="B284" s="147">
        <v>502000</v>
      </c>
      <c r="C284" s="147">
        <v>502000</v>
      </c>
      <c r="D284" s="147">
        <v>83710.14</v>
      </c>
      <c r="E284" s="147">
        <v>162517.09</v>
      </c>
      <c r="F284" s="147">
        <f t="shared" si="42"/>
        <v>0.03016252264897253</v>
      </c>
      <c r="G284" s="147">
        <f t="shared" si="48"/>
        <v>339482.91000000003</v>
      </c>
      <c r="H284" s="147">
        <v>83710.14</v>
      </c>
      <c r="I284" s="147">
        <v>162517.09</v>
      </c>
      <c r="J284" s="147">
        <f t="shared" si="43"/>
        <v>0.04911867298101979</v>
      </c>
      <c r="K284" s="145">
        <f t="shared" si="49"/>
        <v>339482.91000000003</v>
      </c>
      <c r="L284" s="147"/>
    </row>
    <row r="285" spans="1:12" ht="11.25" customHeight="1">
      <c r="A285" s="65" t="s">
        <v>212</v>
      </c>
      <c r="B285" s="147">
        <v>597000</v>
      </c>
      <c r="C285" s="147">
        <v>597000</v>
      </c>
      <c r="D285" s="147">
        <v>93347.8</v>
      </c>
      <c r="E285" s="147">
        <v>184748.69</v>
      </c>
      <c r="F285" s="147">
        <f aca="true" t="shared" si="50" ref="F285:F316">IF($E$213&gt;0,E285/$E$213,0)*100</f>
        <v>0.03428861879383273</v>
      </c>
      <c r="G285" s="147">
        <f t="shared" si="48"/>
        <v>412251.31</v>
      </c>
      <c r="H285" s="147">
        <v>93347.8</v>
      </c>
      <c r="I285" s="147">
        <v>184748.69</v>
      </c>
      <c r="J285" s="147">
        <f aca="true" t="shared" si="51" ref="J285:J316">IF($I$213&gt;0,I285/$I$213,0)*100</f>
        <v>0.05583788442053571</v>
      </c>
      <c r="K285" s="145">
        <f t="shared" si="49"/>
        <v>412251.31</v>
      </c>
      <c r="L285" s="147"/>
    </row>
    <row r="286" spans="1:12" ht="11.25" customHeight="1">
      <c r="A286" s="65" t="s">
        <v>213</v>
      </c>
      <c r="B286" s="147">
        <v>759000</v>
      </c>
      <c r="C286" s="147">
        <v>759000</v>
      </c>
      <c r="D286" s="147">
        <v>114766.94</v>
      </c>
      <c r="E286" s="147">
        <v>228055.8</v>
      </c>
      <c r="F286" s="147">
        <f t="shared" si="50"/>
        <v>0.042326245398127356</v>
      </c>
      <c r="G286" s="147">
        <f t="shared" si="48"/>
        <v>530944.2</v>
      </c>
      <c r="H286" s="147">
        <v>114766.94</v>
      </c>
      <c r="I286" s="147">
        <v>228055.8</v>
      </c>
      <c r="J286" s="147">
        <f t="shared" si="51"/>
        <v>0.0689268941600225</v>
      </c>
      <c r="K286" s="145">
        <f t="shared" si="49"/>
        <v>530944.2</v>
      </c>
      <c r="L286" s="147"/>
    </row>
    <row r="287" spans="1:12" ht="11.25" customHeight="1">
      <c r="A287" s="65" t="s">
        <v>214</v>
      </c>
      <c r="B287" s="147"/>
      <c r="C287" s="147"/>
      <c r="D287" s="147"/>
      <c r="E287" s="147"/>
      <c r="F287" s="147">
        <f t="shared" si="50"/>
        <v>0</v>
      </c>
      <c r="G287" s="147">
        <f t="shared" si="48"/>
        <v>0</v>
      </c>
      <c r="H287" s="147"/>
      <c r="I287" s="147"/>
      <c r="J287" s="147">
        <f t="shared" si="51"/>
        <v>0</v>
      </c>
      <c r="K287" s="145">
        <f t="shared" si="49"/>
        <v>0</v>
      </c>
      <c r="L287" s="147"/>
    </row>
    <row r="288" spans="1:12" ht="11.25" customHeight="1">
      <c r="A288" s="65" t="s">
        <v>369</v>
      </c>
      <c r="B288" s="147">
        <v>2465000</v>
      </c>
      <c r="C288" s="147">
        <v>2465000</v>
      </c>
      <c r="D288" s="147">
        <v>279094.93</v>
      </c>
      <c r="E288" s="147">
        <v>964488.27</v>
      </c>
      <c r="F288" s="147">
        <f t="shared" si="50"/>
        <v>0.17900516978579503</v>
      </c>
      <c r="G288" s="147">
        <f t="shared" si="48"/>
        <v>1500511.73</v>
      </c>
      <c r="H288" s="147">
        <v>327065.07</v>
      </c>
      <c r="I288" s="147">
        <v>615201.48</v>
      </c>
      <c r="J288" s="147">
        <f t="shared" si="51"/>
        <v>0.18593663173244968</v>
      </c>
      <c r="K288" s="145">
        <f t="shared" si="49"/>
        <v>1849798.52</v>
      </c>
      <c r="L288" s="147"/>
    </row>
    <row r="289" spans="1:12" ht="11.25" customHeight="1">
      <c r="A289" s="65" t="s">
        <v>363</v>
      </c>
      <c r="B289" s="147"/>
      <c r="C289" s="147"/>
      <c r="D289" s="147"/>
      <c r="E289" s="147"/>
      <c r="F289" s="147">
        <f t="shared" si="50"/>
        <v>0</v>
      </c>
      <c r="G289" s="147">
        <f t="shared" si="48"/>
        <v>0</v>
      </c>
      <c r="H289" s="147"/>
      <c r="I289" s="147"/>
      <c r="J289" s="147">
        <f t="shared" si="51"/>
        <v>0</v>
      </c>
      <c r="K289" s="145">
        <f t="shared" si="49"/>
        <v>0</v>
      </c>
      <c r="L289" s="147"/>
    </row>
    <row r="290" spans="1:12" ht="11.25" customHeight="1">
      <c r="A290" s="64" t="s">
        <v>265</v>
      </c>
      <c r="B290" s="147">
        <f>SUM(B291:B296)</f>
        <v>0</v>
      </c>
      <c r="C290" s="147">
        <f>SUM(C291:C296)</f>
        <v>0</v>
      </c>
      <c r="D290" s="147">
        <f>SUM(D291:D296)</f>
        <v>0</v>
      </c>
      <c r="E290" s="147">
        <f>SUM(E291:E296)</f>
        <v>0</v>
      </c>
      <c r="F290" s="147">
        <f t="shared" si="50"/>
        <v>0</v>
      </c>
      <c r="G290" s="147">
        <f>SUM(G291:G296)</f>
        <v>0</v>
      </c>
      <c r="H290" s="147">
        <f>SUM(H291:H296)</f>
        <v>0</v>
      </c>
      <c r="I290" s="147">
        <f>SUM(I291:I296)</f>
        <v>0</v>
      </c>
      <c r="J290" s="147">
        <f t="shared" si="51"/>
        <v>0</v>
      </c>
      <c r="K290" s="145">
        <f>SUM(K291:K296)</f>
        <v>0</v>
      </c>
      <c r="L290" s="147">
        <f>SUM(L291:L296)</f>
        <v>0</v>
      </c>
    </row>
    <row r="291" spans="1:12" ht="11.25" customHeight="1">
      <c r="A291" s="65" t="s">
        <v>395</v>
      </c>
      <c r="B291" s="147"/>
      <c r="C291" s="147"/>
      <c r="D291" s="147"/>
      <c r="E291" s="147"/>
      <c r="F291" s="147">
        <f t="shared" si="50"/>
        <v>0</v>
      </c>
      <c r="G291" s="147">
        <f aca="true" t="shared" si="52" ref="G291:G296">C291-E291</f>
        <v>0</v>
      </c>
      <c r="H291" s="147"/>
      <c r="I291" s="147"/>
      <c r="J291" s="147">
        <f t="shared" si="51"/>
        <v>0</v>
      </c>
      <c r="K291" s="145">
        <f aca="true" t="shared" si="53" ref="K291:K296">C291-I291</f>
        <v>0</v>
      </c>
      <c r="L291" s="147"/>
    </row>
    <row r="292" spans="1:12" ht="11.25" customHeight="1">
      <c r="A292" s="65" t="s">
        <v>396</v>
      </c>
      <c r="B292" s="147"/>
      <c r="C292" s="147"/>
      <c r="D292" s="147"/>
      <c r="E292" s="147"/>
      <c r="F292" s="147">
        <f t="shared" si="50"/>
        <v>0</v>
      </c>
      <c r="G292" s="147">
        <f t="shared" si="52"/>
        <v>0</v>
      </c>
      <c r="H292" s="147"/>
      <c r="I292" s="147"/>
      <c r="J292" s="147">
        <f t="shared" si="51"/>
        <v>0</v>
      </c>
      <c r="K292" s="145">
        <f t="shared" si="53"/>
        <v>0</v>
      </c>
      <c r="L292" s="147"/>
    </row>
    <row r="293" spans="1:12" ht="11.25" customHeight="1">
      <c r="A293" s="65" t="s">
        <v>397</v>
      </c>
      <c r="B293" s="147"/>
      <c r="C293" s="147"/>
      <c r="D293" s="147"/>
      <c r="E293" s="147"/>
      <c r="F293" s="147">
        <f t="shared" si="50"/>
        <v>0</v>
      </c>
      <c r="G293" s="147">
        <f t="shared" si="52"/>
        <v>0</v>
      </c>
      <c r="H293" s="147"/>
      <c r="I293" s="147"/>
      <c r="J293" s="147">
        <f t="shared" si="51"/>
        <v>0</v>
      </c>
      <c r="K293" s="145">
        <f t="shared" si="53"/>
        <v>0</v>
      </c>
      <c r="L293" s="147"/>
    </row>
    <row r="294" spans="1:12" ht="11.25" customHeight="1">
      <c r="A294" s="65" t="s">
        <v>398</v>
      </c>
      <c r="B294" s="147"/>
      <c r="C294" s="147"/>
      <c r="D294" s="147"/>
      <c r="E294" s="147"/>
      <c r="F294" s="147">
        <f t="shared" si="50"/>
        <v>0</v>
      </c>
      <c r="G294" s="147">
        <f t="shared" si="52"/>
        <v>0</v>
      </c>
      <c r="H294" s="147"/>
      <c r="I294" s="147"/>
      <c r="J294" s="147">
        <f t="shared" si="51"/>
        <v>0</v>
      </c>
      <c r="K294" s="145">
        <f t="shared" si="53"/>
        <v>0</v>
      </c>
      <c r="L294" s="147"/>
    </row>
    <row r="295" spans="1:12" ht="11.25" customHeight="1">
      <c r="A295" s="65" t="s">
        <v>369</v>
      </c>
      <c r="B295" s="147"/>
      <c r="C295" s="147"/>
      <c r="D295" s="147"/>
      <c r="E295" s="147"/>
      <c r="F295" s="147">
        <f t="shared" si="50"/>
        <v>0</v>
      </c>
      <c r="G295" s="147">
        <f t="shared" si="52"/>
        <v>0</v>
      </c>
      <c r="H295" s="147"/>
      <c r="I295" s="147"/>
      <c r="J295" s="147">
        <f t="shared" si="51"/>
        <v>0</v>
      </c>
      <c r="K295" s="145">
        <f t="shared" si="53"/>
        <v>0</v>
      </c>
      <c r="L295" s="147"/>
    </row>
    <row r="296" spans="1:12" ht="11.25" customHeight="1">
      <c r="A296" s="65" t="s">
        <v>363</v>
      </c>
      <c r="B296" s="147"/>
      <c r="C296" s="147"/>
      <c r="D296" s="147"/>
      <c r="E296" s="147"/>
      <c r="F296" s="147">
        <f t="shared" si="50"/>
        <v>0</v>
      </c>
      <c r="G296" s="147">
        <f t="shared" si="52"/>
        <v>0</v>
      </c>
      <c r="H296" s="147"/>
      <c r="I296" s="147"/>
      <c r="J296" s="147">
        <f t="shared" si="51"/>
        <v>0</v>
      </c>
      <c r="K296" s="145">
        <f t="shared" si="53"/>
        <v>0</v>
      </c>
      <c r="L296" s="147"/>
    </row>
    <row r="297" spans="1:12" ht="11.25" customHeight="1">
      <c r="A297" s="64" t="s">
        <v>266</v>
      </c>
      <c r="B297" s="147">
        <f>SUM(B298:B307)</f>
        <v>37460995</v>
      </c>
      <c r="C297" s="147">
        <f>SUM(C298:C307)</f>
        <v>38522995</v>
      </c>
      <c r="D297" s="147">
        <f>SUM(D298:D307)</f>
        <v>5682430.460000001</v>
      </c>
      <c r="E297" s="147">
        <f>SUM(E298:E307)</f>
        <v>13639732.93</v>
      </c>
      <c r="F297" s="147">
        <f t="shared" si="50"/>
        <v>2.5314799411376456</v>
      </c>
      <c r="G297" s="147">
        <f>SUM(G298:G307)</f>
        <v>24883262.07</v>
      </c>
      <c r="H297" s="147">
        <f>SUM(H298:H307)</f>
        <v>6052681.610000001</v>
      </c>
      <c r="I297" s="147">
        <f>SUM(I298:I307)</f>
        <v>11329423.450000003</v>
      </c>
      <c r="J297" s="147">
        <f t="shared" si="51"/>
        <v>3.4241706241728003</v>
      </c>
      <c r="K297" s="145">
        <f>SUM(K298:K307)</f>
        <v>27193571.549999997</v>
      </c>
      <c r="L297" s="147">
        <f>SUM(L298:L307)</f>
        <v>0</v>
      </c>
    </row>
    <row r="298" spans="1:12" ht="11.25" customHeight="1">
      <c r="A298" s="65" t="s">
        <v>399</v>
      </c>
      <c r="B298" s="147">
        <v>21548495</v>
      </c>
      <c r="C298" s="147">
        <v>21548495</v>
      </c>
      <c r="D298" s="147">
        <v>3210435.36</v>
      </c>
      <c r="E298" s="147">
        <v>7752101.88</v>
      </c>
      <c r="F298" s="147">
        <f t="shared" si="50"/>
        <v>1.4387591393166252</v>
      </c>
      <c r="G298" s="147">
        <f aca="true" t="shared" si="54" ref="G298:G307">C298-E298</f>
        <v>13796393.120000001</v>
      </c>
      <c r="H298" s="147">
        <v>3421418.96</v>
      </c>
      <c r="I298" s="147">
        <v>6397252.69</v>
      </c>
      <c r="J298" s="147">
        <f t="shared" si="51"/>
        <v>1.9334862743177295</v>
      </c>
      <c r="K298" s="145">
        <f aca="true" t="shared" si="55" ref="K298:K307">C298-I298</f>
        <v>15151242.309999999</v>
      </c>
      <c r="L298" s="147"/>
    </row>
    <row r="299" spans="1:12" ht="11.25" customHeight="1">
      <c r="A299" s="65" t="s">
        <v>400</v>
      </c>
      <c r="B299" s="147">
        <v>18000</v>
      </c>
      <c r="C299" s="147">
        <v>18000</v>
      </c>
      <c r="D299" s="147">
        <v>3408.2</v>
      </c>
      <c r="E299" s="147">
        <v>3408.2</v>
      </c>
      <c r="F299" s="147">
        <f t="shared" si="50"/>
        <v>0.0006325483042566673</v>
      </c>
      <c r="G299" s="147">
        <f t="shared" si="54"/>
        <v>14591.8</v>
      </c>
      <c r="H299" s="147">
        <v>3408.2</v>
      </c>
      <c r="I299" s="147">
        <v>3408.2</v>
      </c>
      <c r="J299" s="147">
        <f t="shared" si="51"/>
        <v>0.0010300840438006342</v>
      </c>
      <c r="K299" s="145">
        <f t="shared" si="55"/>
        <v>14591.8</v>
      </c>
      <c r="L299" s="147"/>
    </row>
    <row r="300" spans="1:12" ht="11.25" customHeight="1">
      <c r="A300" s="65" t="s">
        <v>401</v>
      </c>
      <c r="B300" s="147">
        <v>947000</v>
      </c>
      <c r="C300" s="147">
        <v>2009000</v>
      </c>
      <c r="D300" s="147">
        <v>281075.41</v>
      </c>
      <c r="E300" s="147">
        <v>546116.75</v>
      </c>
      <c r="F300" s="147">
        <f t="shared" si="50"/>
        <v>0.10135708706609421</v>
      </c>
      <c r="G300" s="147">
        <f t="shared" si="54"/>
        <v>1462883.25</v>
      </c>
      <c r="H300" s="147">
        <v>295382.7</v>
      </c>
      <c r="I300" s="147">
        <v>473214.49</v>
      </c>
      <c r="J300" s="147">
        <f t="shared" si="51"/>
        <v>0.14302291398516953</v>
      </c>
      <c r="K300" s="145">
        <f t="shared" si="55"/>
        <v>1535785.51</v>
      </c>
      <c r="L300" s="147"/>
    </row>
    <row r="301" spans="1:12" ht="11.25" customHeight="1">
      <c r="A301" s="65" t="s">
        <v>402</v>
      </c>
      <c r="B301" s="147">
        <v>18000</v>
      </c>
      <c r="C301" s="147">
        <v>18000</v>
      </c>
      <c r="D301" s="147">
        <v>3322.68</v>
      </c>
      <c r="E301" s="147">
        <v>4640.38</v>
      </c>
      <c r="F301" s="147">
        <f t="shared" si="50"/>
        <v>0.0008612359897032315</v>
      </c>
      <c r="G301" s="147">
        <f t="shared" si="54"/>
        <v>13359.619999999999</v>
      </c>
      <c r="H301" s="147">
        <v>3322.68</v>
      </c>
      <c r="I301" s="147">
        <v>4640.38</v>
      </c>
      <c r="J301" s="147">
        <f t="shared" si="51"/>
        <v>0.0014024943944520825</v>
      </c>
      <c r="K301" s="145">
        <f t="shared" si="55"/>
        <v>13359.619999999999</v>
      </c>
      <c r="L301" s="147"/>
    </row>
    <row r="302" spans="1:12" ht="11.25" customHeight="1">
      <c r="A302" s="65" t="s">
        <v>403</v>
      </c>
      <c r="B302" s="147">
        <v>14817500</v>
      </c>
      <c r="C302" s="147">
        <v>14817500</v>
      </c>
      <c r="D302" s="147">
        <v>2173262.91</v>
      </c>
      <c r="E302" s="147">
        <v>5311973.01</v>
      </c>
      <c r="F302" s="147">
        <f t="shared" si="50"/>
        <v>0.9858809693482438</v>
      </c>
      <c r="G302" s="147">
        <f t="shared" si="54"/>
        <v>9505526.99</v>
      </c>
      <c r="H302" s="147">
        <v>2318223.17</v>
      </c>
      <c r="I302" s="147">
        <v>4429414.98</v>
      </c>
      <c r="J302" s="147">
        <f t="shared" si="51"/>
        <v>1.3387329658674685</v>
      </c>
      <c r="K302" s="145">
        <f t="shared" si="55"/>
        <v>10388085.02</v>
      </c>
      <c r="L302" s="147"/>
    </row>
    <row r="303" spans="1:12" ht="11.25" customHeight="1">
      <c r="A303" s="65" t="s">
        <v>404</v>
      </c>
      <c r="B303" s="147">
        <v>112000</v>
      </c>
      <c r="C303" s="147">
        <v>112000</v>
      </c>
      <c r="D303" s="147">
        <v>10925.9</v>
      </c>
      <c r="E303" s="147">
        <v>21492.71</v>
      </c>
      <c r="F303" s="147">
        <f t="shared" si="50"/>
        <v>0.003988961112722351</v>
      </c>
      <c r="G303" s="147">
        <f t="shared" si="54"/>
        <v>90507.29000000001</v>
      </c>
      <c r="H303" s="147">
        <v>10925.9</v>
      </c>
      <c r="I303" s="147">
        <v>21492.71</v>
      </c>
      <c r="J303" s="147">
        <f t="shared" si="51"/>
        <v>0.006495891564178842</v>
      </c>
      <c r="K303" s="145">
        <f t="shared" si="55"/>
        <v>90507.29000000001</v>
      </c>
      <c r="L303" s="147"/>
    </row>
    <row r="304" spans="1:12" ht="11.25" customHeight="1">
      <c r="A304" s="65" t="s">
        <v>405</v>
      </c>
      <c r="B304" s="147"/>
      <c r="C304" s="147"/>
      <c r="D304" s="147"/>
      <c r="E304" s="147"/>
      <c r="F304" s="147">
        <f t="shared" si="50"/>
        <v>0</v>
      </c>
      <c r="G304" s="147">
        <f t="shared" si="54"/>
        <v>0</v>
      </c>
      <c r="H304" s="147"/>
      <c r="I304" s="147"/>
      <c r="J304" s="147">
        <f t="shared" si="51"/>
        <v>0</v>
      </c>
      <c r="K304" s="145">
        <f t="shared" si="55"/>
        <v>0</v>
      </c>
      <c r="L304" s="147"/>
    </row>
    <row r="305" spans="1:12" ht="11.25" customHeight="1">
      <c r="A305" s="65" t="s">
        <v>625</v>
      </c>
      <c r="B305" s="147"/>
      <c r="C305" s="147"/>
      <c r="D305" s="147"/>
      <c r="E305" s="147"/>
      <c r="F305" s="147">
        <f t="shared" si="50"/>
        <v>0</v>
      </c>
      <c r="G305" s="147">
        <f t="shared" si="54"/>
        <v>0</v>
      </c>
      <c r="H305" s="147"/>
      <c r="I305" s="147"/>
      <c r="J305" s="147">
        <f t="shared" si="51"/>
        <v>0</v>
      </c>
      <c r="K305" s="145">
        <f t="shared" si="55"/>
        <v>0</v>
      </c>
      <c r="L305" s="147"/>
    </row>
    <row r="306" spans="1:12" ht="11.25" customHeight="1">
      <c r="A306" s="65" t="s">
        <v>369</v>
      </c>
      <c r="B306" s="147"/>
      <c r="C306" s="147"/>
      <c r="D306" s="147"/>
      <c r="E306" s="147"/>
      <c r="F306" s="147">
        <f t="shared" si="50"/>
        <v>0</v>
      </c>
      <c r="G306" s="147">
        <f t="shared" si="54"/>
        <v>0</v>
      </c>
      <c r="H306" s="147"/>
      <c r="I306" s="147"/>
      <c r="J306" s="147">
        <f t="shared" si="51"/>
        <v>0</v>
      </c>
      <c r="K306" s="145">
        <f t="shared" si="55"/>
        <v>0</v>
      </c>
      <c r="L306" s="147"/>
    </row>
    <row r="307" spans="1:12" ht="11.25" customHeight="1">
      <c r="A307" s="65" t="s">
        <v>363</v>
      </c>
      <c r="B307" s="147"/>
      <c r="C307" s="147"/>
      <c r="D307" s="147"/>
      <c r="E307" s="147"/>
      <c r="F307" s="147">
        <f t="shared" si="50"/>
        <v>0</v>
      </c>
      <c r="G307" s="147">
        <f t="shared" si="54"/>
        <v>0</v>
      </c>
      <c r="H307" s="147"/>
      <c r="I307" s="147"/>
      <c r="J307" s="147">
        <f t="shared" si="51"/>
        <v>0</v>
      </c>
      <c r="K307" s="145">
        <f t="shared" si="55"/>
        <v>0</v>
      </c>
      <c r="L307" s="147"/>
    </row>
    <row r="308" spans="1:12" ht="11.25" customHeight="1">
      <c r="A308" s="64" t="s">
        <v>267</v>
      </c>
      <c r="B308" s="147">
        <f>SUM(B309:B312)</f>
        <v>1129000</v>
      </c>
      <c r="C308" s="147">
        <f>SUM(C309:C312)</f>
        <v>1129000</v>
      </c>
      <c r="D308" s="147">
        <f>SUM(D309:D312)</f>
        <v>107037.12</v>
      </c>
      <c r="E308" s="147">
        <f>SUM(E309:E312)</f>
        <v>619477.08</v>
      </c>
      <c r="F308" s="147">
        <f t="shared" si="50"/>
        <v>0.11497247123991308</v>
      </c>
      <c r="G308" s="147">
        <f>SUM(G309:G312)</f>
        <v>509522.92000000004</v>
      </c>
      <c r="H308" s="147">
        <f>SUM(H309:H312)</f>
        <v>163022.85</v>
      </c>
      <c r="I308" s="147">
        <f>SUM(I309:I312)</f>
        <v>294501.58999999997</v>
      </c>
      <c r="J308" s="147">
        <f t="shared" si="51"/>
        <v>0.08900926845047721</v>
      </c>
      <c r="K308" s="145">
        <f>SUM(K309:K312)</f>
        <v>834498.41</v>
      </c>
      <c r="L308" s="147">
        <f>SUM(L309:L312)</f>
        <v>0</v>
      </c>
    </row>
    <row r="309" spans="1:12" ht="11.25" customHeight="1">
      <c r="A309" s="65" t="s">
        <v>406</v>
      </c>
      <c r="B309" s="147">
        <v>414000</v>
      </c>
      <c r="C309" s="147">
        <v>414000</v>
      </c>
      <c r="D309" s="147">
        <v>0</v>
      </c>
      <c r="E309" s="147">
        <v>409000</v>
      </c>
      <c r="F309" s="147">
        <f t="shared" si="50"/>
        <v>0.07590876604688016</v>
      </c>
      <c r="G309" s="147">
        <f>C309-E309</f>
        <v>5000</v>
      </c>
      <c r="H309" s="147">
        <v>55985.73</v>
      </c>
      <c r="I309" s="147">
        <v>84024.51</v>
      </c>
      <c r="J309" s="147">
        <f t="shared" si="51"/>
        <v>0.025395313373383847</v>
      </c>
      <c r="K309" s="145">
        <f>C309-I309</f>
        <v>329975.49</v>
      </c>
      <c r="L309" s="147"/>
    </row>
    <row r="310" spans="1:12" ht="11.25" customHeight="1">
      <c r="A310" s="65" t="s">
        <v>407</v>
      </c>
      <c r="B310" s="147">
        <v>715000</v>
      </c>
      <c r="C310" s="147">
        <v>715000</v>
      </c>
      <c r="D310" s="147">
        <v>107037.12</v>
      </c>
      <c r="E310" s="147">
        <v>210477.08</v>
      </c>
      <c r="F310" s="147">
        <f t="shared" si="50"/>
        <v>0.03906370519303294</v>
      </c>
      <c r="G310" s="147">
        <f>C310-E310</f>
        <v>504522.92000000004</v>
      </c>
      <c r="H310" s="147">
        <v>107037.12</v>
      </c>
      <c r="I310" s="147">
        <v>210477.08</v>
      </c>
      <c r="J310" s="147">
        <f t="shared" si="51"/>
        <v>0.06361395507709336</v>
      </c>
      <c r="K310" s="145">
        <f>C310-I310</f>
        <v>504522.92000000004</v>
      </c>
      <c r="L310" s="147"/>
    </row>
    <row r="311" spans="1:12" ht="11.25" customHeight="1">
      <c r="A311" s="65" t="s">
        <v>369</v>
      </c>
      <c r="B311" s="147"/>
      <c r="C311" s="147"/>
      <c r="D311" s="147"/>
      <c r="E311" s="147"/>
      <c r="F311" s="147">
        <f t="shared" si="50"/>
        <v>0</v>
      </c>
      <c r="G311" s="147">
        <f>C311-E311</f>
        <v>0</v>
      </c>
      <c r="H311" s="147"/>
      <c r="I311" s="147"/>
      <c r="J311" s="147">
        <f t="shared" si="51"/>
        <v>0</v>
      </c>
      <c r="K311" s="145">
        <f>C311-I311</f>
        <v>0</v>
      </c>
      <c r="L311" s="147"/>
    </row>
    <row r="312" spans="1:12" ht="11.25" customHeight="1">
      <c r="A312" s="65" t="s">
        <v>363</v>
      </c>
      <c r="B312" s="147"/>
      <c r="C312" s="147"/>
      <c r="D312" s="147"/>
      <c r="E312" s="147"/>
      <c r="F312" s="147">
        <f t="shared" si="50"/>
        <v>0</v>
      </c>
      <c r="G312" s="147">
        <f>C312-E312</f>
        <v>0</v>
      </c>
      <c r="H312" s="147"/>
      <c r="I312" s="147"/>
      <c r="J312" s="147">
        <f t="shared" si="51"/>
        <v>0</v>
      </c>
      <c r="K312" s="145">
        <f>C312-I312</f>
        <v>0</v>
      </c>
      <c r="L312" s="147"/>
    </row>
    <row r="313" spans="1:12" ht="11.25" customHeight="1">
      <c r="A313" s="64" t="s">
        <v>268</v>
      </c>
      <c r="B313" s="147">
        <f>SUM(B314:B318)</f>
        <v>0</v>
      </c>
      <c r="C313" s="147">
        <f>SUM(C314:C318)</f>
        <v>0</v>
      </c>
      <c r="D313" s="147">
        <f>SUM(D314:D318)</f>
        <v>0</v>
      </c>
      <c r="E313" s="147">
        <f>SUM(E314:E318)</f>
        <v>0</v>
      </c>
      <c r="F313" s="147">
        <f t="shared" si="50"/>
        <v>0</v>
      </c>
      <c r="G313" s="147">
        <f>SUM(G314:G318)</f>
        <v>0</v>
      </c>
      <c r="H313" s="147">
        <f>SUM(H314:H318)</f>
        <v>0</v>
      </c>
      <c r="I313" s="147">
        <f>SUM(I314:I318)</f>
        <v>0</v>
      </c>
      <c r="J313" s="147">
        <f t="shared" si="51"/>
        <v>0</v>
      </c>
      <c r="K313" s="145">
        <f>SUM(K314:K318)</f>
        <v>0</v>
      </c>
      <c r="L313" s="147">
        <f>SUM(L314:L318)</f>
        <v>0</v>
      </c>
    </row>
    <row r="314" spans="1:12" ht="11.25" customHeight="1">
      <c r="A314" s="65" t="s">
        <v>408</v>
      </c>
      <c r="B314" s="147"/>
      <c r="C314" s="147"/>
      <c r="D314" s="147"/>
      <c r="E314" s="147"/>
      <c r="F314" s="147">
        <f t="shared" si="50"/>
        <v>0</v>
      </c>
      <c r="G314" s="147">
        <f>C314-E314</f>
        <v>0</v>
      </c>
      <c r="H314" s="147"/>
      <c r="I314" s="147"/>
      <c r="J314" s="147">
        <f t="shared" si="51"/>
        <v>0</v>
      </c>
      <c r="K314" s="145">
        <f>C314-I314</f>
        <v>0</v>
      </c>
      <c r="L314" s="147"/>
    </row>
    <row r="315" spans="1:12" ht="11.25" customHeight="1">
      <c r="A315" s="65" t="s">
        <v>409</v>
      </c>
      <c r="B315" s="147"/>
      <c r="C315" s="147"/>
      <c r="D315" s="147"/>
      <c r="E315" s="147"/>
      <c r="F315" s="147">
        <f t="shared" si="50"/>
        <v>0</v>
      </c>
      <c r="G315" s="147">
        <f>C315-E315</f>
        <v>0</v>
      </c>
      <c r="H315" s="147"/>
      <c r="I315" s="147"/>
      <c r="J315" s="147">
        <f t="shared" si="51"/>
        <v>0</v>
      </c>
      <c r="K315" s="145">
        <f>C315-I315</f>
        <v>0</v>
      </c>
      <c r="L315" s="147"/>
    </row>
    <row r="316" spans="1:12" ht="11.25" customHeight="1">
      <c r="A316" s="65" t="s">
        <v>410</v>
      </c>
      <c r="B316" s="147"/>
      <c r="C316" s="147"/>
      <c r="D316" s="147"/>
      <c r="E316" s="147"/>
      <c r="F316" s="147">
        <f t="shared" si="50"/>
        <v>0</v>
      </c>
      <c r="G316" s="147">
        <f>C316-E316</f>
        <v>0</v>
      </c>
      <c r="H316" s="147"/>
      <c r="I316" s="147"/>
      <c r="J316" s="147">
        <f t="shared" si="51"/>
        <v>0</v>
      </c>
      <c r="K316" s="145">
        <f>C316-I316</f>
        <v>0</v>
      </c>
      <c r="L316" s="147"/>
    </row>
    <row r="317" spans="1:12" ht="11.25" customHeight="1">
      <c r="A317" s="65" t="s">
        <v>369</v>
      </c>
      <c r="B317" s="147"/>
      <c r="C317" s="147"/>
      <c r="D317" s="147"/>
      <c r="E317" s="147"/>
      <c r="F317" s="147">
        <f aca="true" t="shared" si="56" ref="F317:F348">IF($E$213&gt;0,E317/$E$213,0)*100</f>
        <v>0</v>
      </c>
      <c r="G317" s="147">
        <f>C317-E317</f>
        <v>0</v>
      </c>
      <c r="H317" s="147"/>
      <c r="I317" s="147"/>
      <c r="J317" s="147">
        <f aca="true" t="shared" si="57" ref="J317:J348">IF($I$213&gt;0,I317/$I$213,0)*100</f>
        <v>0</v>
      </c>
      <c r="K317" s="145">
        <f>C317-I317</f>
        <v>0</v>
      </c>
      <c r="L317" s="147"/>
    </row>
    <row r="318" spans="1:12" ht="11.25" customHeight="1">
      <c r="A318" s="65" t="s">
        <v>363</v>
      </c>
      <c r="B318" s="147"/>
      <c r="C318" s="147"/>
      <c r="D318" s="147"/>
      <c r="E318" s="147"/>
      <c r="F318" s="147">
        <f t="shared" si="56"/>
        <v>0</v>
      </c>
      <c r="G318" s="147">
        <f>C318-E318</f>
        <v>0</v>
      </c>
      <c r="H318" s="147"/>
      <c r="I318" s="147"/>
      <c r="J318" s="147">
        <f t="shared" si="57"/>
        <v>0</v>
      </c>
      <c r="K318" s="145">
        <f>C318-I318</f>
        <v>0</v>
      </c>
      <c r="L318" s="147"/>
    </row>
    <row r="319" spans="1:12" ht="11.25" customHeight="1">
      <c r="A319" s="64" t="s">
        <v>269</v>
      </c>
      <c r="B319" s="147">
        <f>SUM(B320:B324)</f>
        <v>4380000</v>
      </c>
      <c r="C319" s="147">
        <f>SUM(C320:C324)</f>
        <v>4380000</v>
      </c>
      <c r="D319" s="147">
        <f>SUM(D320:D324)</f>
        <v>645701.24</v>
      </c>
      <c r="E319" s="147">
        <f>SUM(E320:E324)</f>
        <v>1293474.92</v>
      </c>
      <c r="F319" s="147">
        <f t="shared" si="56"/>
        <v>0.2400637777256406</v>
      </c>
      <c r="G319" s="147">
        <f>SUM(G320:G324)</f>
        <v>3086525.08</v>
      </c>
      <c r="H319" s="147">
        <f>SUM(H320:H324)</f>
        <v>645701.24</v>
      </c>
      <c r="I319" s="147">
        <f>SUM(I320:I324)</f>
        <v>1285074.92</v>
      </c>
      <c r="J319" s="147">
        <f t="shared" si="57"/>
        <v>0.388397151041716</v>
      </c>
      <c r="K319" s="145">
        <f>SUM(K320:K324)</f>
        <v>3094925.08</v>
      </c>
      <c r="L319" s="147">
        <f>SUM(L320:L324)</f>
        <v>0</v>
      </c>
    </row>
    <row r="320" spans="1:12" ht="11.25" customHeight="1">
      <c r="A320" s="65" t="s">
        <v>411</v>
      </c>
      <c r="B320" s="147">
        <v>2510000</v>
      </c>
      <c r="C320" s="147">
        <v>2510000</v>
      </c>
      <c r="D320" s="147">
        <v>362217.38</v>
      </c>
      <c r="E320" s="147">
        <v>716679.17</v>
      </c>
      <c r="F320" s="147">
        <f t="shared" si="56"/>
        <v>0.1330127908220104</v>
      </c>
      <c r="G320" s="147">
        <f>C320-E320</f>
        <v>1793320.83</v>
      </c>
      <c r="H320" s="147">
        <v>362217.38</v>
      </c>
      <c r="I320" s="147">
        <v>716679.17</v>
      </c>
      <c r="J320" s="147">
        <f t="shared" si="57"/>
        <v>0.2166069413594514</v>
      </c>
      <c r="K320" s="145">
        <f>C320-I320</f>
        <v>1793320.83</v>
      </c>
      <c r="L320" s="147"/>
    </row>
    <row r="321" spans="1:12" ht="11.25" customHeight="1">
      <c r="A321" s="65" t="s">
        <v>412</v>
      </c>
      <c r="B321" s="147">
        <v>1870000</v>
      </c>
      <c r="C321" s="147">
        <v>1870000</v>
      </c>
      <c r="D321" s="147">
        <v>283483.86</v>
      </c>
      <c r="E321" s="147">
        <v>576795.75</v>
      </c>
      <c r="F321" s="147">
        <f t="shared" si="56"/>
        <v>0.10705098690363024</v>
      </c>
      <c r="G321" s="147">
        <f>C321-E321</f>
        <v>1293204.25</v>
      </c>
      <c r="H321" s="147">
        <v>283483.86</v>
      </c>
      <c r="I321" s="147">
        <v>568395.75</v>
      </c>
      <c r="J321" s="147">
        <f t="shared" si="57"/>
        <v>0.17179020968226466</v>
      </c>
      <c r="K321" s="145">
        <f>C321-I321</f>
        <v>1301604.25</v>
      </c>
      <c r="L321" s="147"/>
    </row>
    <row r="322" spans="1:12" ht="11.25" customHeight="1">
      <c r="A322" s="65" t="s">
        <v>413</v>
      </c>
      <c r="B322" s="147"/>
      <c r="C322" s="147"/>
      <c r="D322" s="147"/>
      <c r="E322" s="147"/>
      <c r="F322" s="147">
        <f t="shared" si="56"/>
        <v>0</v>
      </c>
      <c r="G322" s="147">
        <f>C322-E322</f>
        <v>0</v>
      </c>
      <c r="H322" s="147"/>
      <c r="I322" s="147"/>
      <c r="J322" s="147">
        <f t="shared" si="57"/>
        <v>0</v>
      </c>
      <c r="K322" s="145">
        <f>C322-I322</f>
        <v>0</v>
      </c>
      <c r="L322" s="147"/>
    </row>
    <row r="323" spans="1:12" ht="11.25" customHeight="1">
      <c r="A323" s="65" t="s">
        <v>369</v>
      </c>
      <c r="B323" s="147"/>
      <c r="C323" s="147"/>
      <c r="D323" s="147"/>
      <c r="E323" s="147"/>
      <c r="F323" s="147">
        <f t="shared" si="56"/>
        <v>0</v>
      </c>
      <c r="G323" s="147">
        <f>C323-E323</f>
        <v>0</v>
      </c>
      <c r="H323" s="147"/>
      <c r="I323" s="147"/>
      <c r="J323" s="147">
        <f t="shared" si="57"/>
        <v>0</v>
      </c>
      <c r="K323" s="145">
        <f>C323-I323</f>
        <v>0</v>
      </c>
      <c r="L323" s="147"/>
    </row>
    <row r="324" spans="1:12" ht="11.25" customHeight="1">
      <c r="A324" s="65" t="s">
        <v>363</v>
      </c>
      <c r="B324" s="147"/>
      <c r="C324" s="147"/>
      <c r="D324" s="147"/>
      <c r="E324" s="147"/>
      <c r="F324" s="147">
        <f t="shared" si="56"/>
        <v>0</v>
      </c>
      <c r="G324" s="147">
        <f>C324-E324</f>
        <v>0</v>
      </c>
      <c r="H324" s="147"/>
      <c r="I324" s="147"/>
      <c r="J324" s="147">
        <f t="shared" si="57"/>
        <v>0</v>
      </c>
      <c r="K324" s="145">
        <f>C324-I324</f>
        <v>0</v>
      </c>
      <c r="L324" s="147"/>
    </row>
    <row r="325" spans="1:12" ht="11.25" customHeight="1">
      <c r="A325" s="64" t="s">
        <v>270</v>
      </c>
      <c r="B325" s="147">
        <f>SUM(B326:B329)</f>
        <v>280000</v>
      </c>
      <c r="C325" s="147">
        <f>SUM(C326:C329)</f>
        <v>280000</v>
      </c>
      <c r="D325" s="147">
        <f>SUM(D326:D329)</f>
        <v>38788.65</v>
      </c>
      <c r="E325" s="147">
        <f>SUM(E326:E329)</f>
        <v>80702.82</v>
      </c>
      <c r="F325" s="147">
        <f t="shared" si="56"/>
        <v>0.014978120984605086</v>
      </c>
      <c r="G325" s="147">
        <f>SUM(G326:G329)</f>
        <v>199297.18</v>
      </c>
      <c r="H325" s="147">
        <f>SUM(H326:H329)</f>
        <v>38908.65</v>
      </c>
      <c r="I325" s="147">
        <f>SUM(I326:I329)</f>
        <v>78822.82</v>
      </c>
      <c r="J325" s="147">
        <f t="shared" si="57"/>
        <v>0.023823170344865186</v>
      </c>
      <c r="K325" s="145">
        <f>SUM(K326:K329)</f>
        <v>201177.18</v>
      </c>
      <c r="L325" s="147">
        <f>SUM(L326:L329)</f>
        <v>0</v>
      </c>
    </row>
    <row r="326" spans="1:12" ht="11.25" customHeight="1">
      <c r="A326" s="65" t="s">
        <v>414</v>
      </c>
      <c r="B326" s="147"/>
      <c r="C326" s="147"/>
      <c r="D326" s="147"/>
      <c r="E326" s="147"/>
      <c r="F326" s="147">
        <f t="shared" si="56"/>
        <v>0</v>
      </c>
      <c r="G326" s="147">
        <f>C326-E326</f>
        <v>0</v>
      </c>
      <c r="H326" s="147"/>
      <c r="I326" s="147"/>
      <c r="J326" s="147">
        <f t="shared" si="57"/>
        <v>0</v>
      </c>
      <c r="K326" s="145">
        <f>C326-I326</f>
        <v>0</v>
      </c>
      <c r="L326" s="147"/>
    </row>
    <row r="327" spans="1:12" ht="11.25" customHeight="1">
      <c r="A327" s="65" t="s">
        <v>415</v>
      </c>
      <c r="B327" s="147">
        <v>280000</v>
      </c>
      <c r="C327" s="147">
        <v>280000</v>
      </c>
      <c r="D327" s="147">
        <v>38788.65</v>
      </c>
      <c r="E327" s="147">
        <v>80702.82</v>
      </c>
      <c r="F327" s="147">
        <f t="shared" si="56"/>
        <v>0.014978120984605086</v>
      </c>
      <c r="G327" s="147">
        <f>C327-E327</f>
        <v>199297.18</v>
      </c>
      <c r="H327" s="147">
        <v>38908.65</v>
      </c>
      <c r="I327" s="147">
        <v>78822.82</v>
      </c>
      <c r="J327" s="147">
        <f t="shared" si="57"/>
        <v>0.023823170344865186</v>
      </c>
      <c r="K327" s="145">
        <f>C327-I327</f>
        <v>201177.18</v>
      </c>
      <c r="L327" s="147"/>
    </row>
    <row r="328" spans="1:12" ht="11.25" customHeight="1">
      <c r="A328" s="65" t="s">
        <v>369</v>
      </c>
      <c r="B328" s="147"/>
      <c r="C328" s="147"/>
      <c r="D328" s="147"/>
      <c r="E328" s="147"/>
      <c r="F328" s="147">
        <f t="shared" si="56"/>
        <v>0</v>
      </c>
      <c r="G328" s="147">
        <f>C328-E328</f>
        <v>0</v>
      </c>
      <c r="H328" s="147"/>
      <c r="I328" s="147"/>
      <c r="J328" s="147">
        <f t="shared" si="57"/>
        <v>0</v>
      </c>
      <c r="K328" s="145">
        <f>C328-I328</f>
        <v>0</v>
      </c>
      <c r="L328" s="147"/>
    </row>
    <row r="329" spans="1:12" ht="11.25" customHeight="1">
      <c r="A329" s="65" t="s">
        <v>363</v>
      </c>
      <c r="B329" s="147"/>
      <c r="C329" s="147"/>
      <c r="D329" s="147"/>
      <c r="E329" s="147"/>
      <c r="F329" s="147">
        <f t="shared" si="56"/>
        <v>0</v>
      </c>
      <c r="G329" s="147">
        <f>C329-E329</f>
        <v>0</v>
      </c>
      <c r="H329" s="147"/>
      <c r="I329" s="147"/>
      <c r="J329" s="147">
        <f t="shared" si="57"/>
        <v>0</v>
      </c>
      <c r="K329" s="145">
        <f>C329-I329</f>
        <v>0</v>
      </c>
      <c r="L329" s="147"/>
    </row>
    <row r="330" spans="1:12" ht="11.25" customHeight="1">
      <c r="A330" s="64" t="s">
        <v>271</v>
      </c>
      <c r="B330" s="147">
        <f>SUM(B331:B334)</f>
        <v>11605000</v>
      </c>
      <c r="C330" s="147">
        <f>SUM(C331:C334)</f>
        <v>11605000</v>
      </c>
      <c r="D330" s="147">
        <f>SUM(D331:D334)</f>
        <v>2035984.22</v>
      </c>
      <c r="E330" s="147">
        <f>SUM(E331:E334)</f>
        <v>4933486.51</v>
      </c>
      <c r="F330" s="147">
        <f t="shared" si="56"/>
        <v>0.9156353870000714</v>
      </c>
      <c r="G330" s="147">
        <f>SUM(G331:G334)</f>
        <v>6671513.49</v>
      </c>
      <c r="H330" s="147">
        <f>SUM(H331:H334)</f>
        <v>2337158.84</v>
      </c>
      <c r="I330" s="147">
        <f>SUM(I331:I334)</f>
        <v>3720625.13</v>
      </c>
      <c r="J330" s="147">
        <f t="shared" si="57"/>
        <v>1.1245104686863037</v>
      </c>
      <c r="K330" s="145">
        <f>SUM(K331:K334)</f>
        <v>7884374.87</v>
      </c>
      <c r="L330" s="147">
        <f>SUM(L331:L334)</f>
        <v>0</v>
      </c>
    </row>
    <row r="331" spans="1:12" ht="11.25" customHeight="1">
      <c r="A331" s="65" t="s">
        <v>416</v>
      </c>
      <c r="B331" s="147"/>
      <c r="C331" s="147"/>
      <c r="D331" s="147"/>
      <c r="E331" s="147"/>
      <c r="F331" s="147">
        <f t="shared" si="56"/>
        <v>0</v>
      </c>
      <c r="G331" s="147">
        <f>C331-E331</f>
        <v>0</v>
      </c>
      <c r="H331" s="147"/>
      <c r="I331" s="147"/>
      <c r="J331" s="147">
        <f t="shared" si="57"/>
        <v>0</v>
      </c>
      <c r="K331" s="145">
        <f>C331-I331</f>
        <v>0</v>
      </c>
      <c r="L331" s="147"/>
    </row>
    <row r="332" spans="1:12" ht="11.25" customHeight="1">
      <c r="A332" s="65" t="s">
        <v>417</v>
      </c>
      <c r="B332" s="147">
        <v>11605000</v>
      </c>
      <c r="C332" s="147">
        <v>11605000</v>
      </c>
      <c r="D332" s="147">
        <v>2035984.22</v>
      </c>
      <c r="E332" s="147">
        <v>4933486.51</v>
      </c>
      <c r="F332" s="147">
        <f t="shared" si="56"/>
        <v>0.9156353870000714</v>
      </c>
      <c r="G332" s="147">
        <f>C332-E332</f>
        <v>6671513.49</v>
      </c>
      <c r="H332" s="147">
        <v>2337158.84</v>
      </c>
      <c r="I332" s="147">
        <v>3720625.13</v>
      </c>
      <c r="J332" s="147">
        <f t="shared" si="57"/>
        <v>1.1245104686863037</v>
      </c>
      <c r="K332" s="145">
        <f>C332-I332</f>
        <v>7884374.87</v>
      </c>
      <c r="L332" s="147"/>
    </row>
    <row r="333" spans="1:12" ht="11.25" customHeight="1">
      <c r="A333" s="65" t="s">
        <v>369</v>
      </c>
      <c r="B333" s="147"/>
      <c r="C333" s="147"/>
      <c r="D333" s="147"/>
      <c r="E333" s="147"/>
      <c r="F333" s="147">
        <f t="shared" si="56"/>
        <v>0</v>
      </c>
      <c r="G333" s="147">
        <f>C333-E333</f>
        <v>0</v>
      </c>
      <c r="H333" s="147"/>
      <c r="I333" s="147"/>
      <c r="J333" s="147">
        <f t="shared" si="57"/>
        <v>0</v>
      </c>
      <c r="K333" s="145">
        <f>C333-I333</f>
        <v>0</v>
      </c>
      <c r="L333" s="147"/>
    </row>
    <row r="334" spans="1:12" ht="11.25" customHeight="1">
      <c r="A334" s="65" t="s">
        <v>363</v>
      </c>
      <c r="B334" s="147"/>
      <c r="C334" s="147"/>
      <c r="D334" s="147"/>
      <c r="E334" s="147"/>
      <c r="F334" s="147">
        <f t="shared" si="56"/>
        <v>0</v>
      </c>
      <c r="G334" s="147">
        <f>C334-E334</f>
        <v>0</v>
      </c>
      <c r="H334" s="147"/>
      <c r="I334" s="147"/>
      <c r="J334" s="147">
        <f t="shared" si="57"/>
        <v>0</v>
      </c>
      <c r="K334" s="145">
        <f>C334-I334</f>
        <v>0</v>
      </c>
      <c r="L334" s="147"/>
    </row>
    <row r="335" spans="1:12" ht="11.25" customHeight="1">
      <c r="A335" s="64" t="s">
        <v>272</v>
      </c>
      <c r="B335" s="147">
        <f>SUM(B336:B342)</f>
        <v>0</v>
      </c>
      <c r="C335" s="147">
        <f>SUM(C336:C342)</f>
        <v>0</v>
      </c>
      <c r="D335" s="147">
        <f>SUM(D336:D342)</f>
        <v>0</v>
      </c>
      <c r="E335" s="147">
        <f>SUM(E336:E342)</f>
        <v>0</v>
      </c>
      <c r="F335" s="147">
        <f t="shared" si="56"/>
        <v>0</v>
      </c>
      <c r="G335" s="147">
        <f>SUM(G336:G342)</f>
        <v>0</v>
      </c>
      <c r="H335" s="147">
        <f>SUM(H336:H342)</f>
        <v>0</v>
      </c>
      <c r="I335" s="147">
        <f>SUM(I336:I342)</f>
        <v>0</v>
      </c>
      <c r="J335" s="147">
        <f t="shared" si="57"/>
        <v>0</v>
      </c>
      <c r="K335" s="145">
        <f>SUM(K336:K342)</f>
        <v>0</v>
      </c>
      <c r="L335" s="147">
        <f>SUM(L336:L342)</f>
        <v>0</v>
      </c>
    </row>
    <row r="336" spans="1:12" ht="11.25" customHeight="1">
      <c r="A336" s="65" t="s">
        <v>418</v>
      </c>
      <c r="B336" s="147"/>
      <c r="C336" s="147"/>
      <c r="D336" s="147"/>
      <c r="E336" s="147"/>
      <c r="F336" s="147">
        <f t="shared" si="56"/>
        <v>0</v>
      </c>
      <c r="G336" s="147">
        <f aca="true" t="shared" si="58" ref="G336:G342">C336-E336</f>
        <v>0</v>
      </c>
      <c r="H336" s="147"/>
      <c r="I336" s="147"/>
      <c r="J336" s="147">
        <f t="shared" si="57"/>
        <v>0</v>
      </c>
      <c r="K336" s="145">
        <f aca="true" t="shared" si="59" ref="K336:K342">C336-I336</f>
        <v>0</v>
      </c>
      <c r="L336" s="147"/>
    </row>
    <row r="337" spans="1:12" ht="11.25" customHeight="1">
      <c r="A337" s="65" t="s">
        <v>419</v>
      </c>
      <c r="B337" s="147"/>
      <c r="C337" s="147"/>
      <c r="D337" s="147"/>
      <c r="E337" s="147"/>
      <c r="F337" s="147">
        <f t="shared" si="56"/>
        <v>0</v>
      </c>
      <c r="G337" s="147">
        <f t="shared" si="58"/>
        <v>0</v>
      </c>
      <c r="H337" s="147"/>
      <c r="I337" s="147"/>
      <c r="J337" s="147">
        <f t="shared" si="57"/>
        <v>0</v>
      </c>
      <c r="K337" s="145">
        <f t="shared" si="59"/>
        <v>0</v>
      </c>
      <c r="L337" s="147"/>
    </row>
    <row r="338" spans="1:12" ht="11.25" customHeight="1">
      <c r="A338" s="65" t="s">
        <v>420</v>
      </c>
      <c r="B338" s="147"/>
      <c r="C338" s="147"/>
      <c r="D338" s="147"/>
      <c r="E338" s="147"/>
      <c r="F338" s="147">
        <f t="shared" si="56"/>
        <v>0</v>
      </c>
      <c r="G338" s="147">
        <f t="shared" si="58"/>
        <v>0</v>
      </c>
      <c r="H338" s="147"/>
      <c r="I338" s="147"/>
      <c r="J338" s="147">
        <f t="shared" si="57"/>
        <v>0</v>
      </c>
      <c r="K338" s="145">
        <f t="shared" si="59"/>
        <v>0</v>
      </c>
      <c r="L338" s="147"/>
    </row>
    <row r="339" spans="1:12" ht="11.25" customHeight="1">
      <c r="A339" s="65" t="s">
        <v>421</v>
      </c>
      <c r="B339" s="147"/>
      <c r="C339" s="147"/>
      <c r="D339" s="147"/>
      <c r="E339" s="147"/>
      <c r="F339" s="147">
        <f t="shared" si="56"/>
        <v>0</v>
      </c>
      <c r="G339" s="147">
        <f t="shared" si="58"/>
        <v>0</v>
      </c>
      <c r="H339" s="147"/>
      <c r="I339" s="147"/>
      <c r="J339" s="147">
        <f t="shared" si="57"/>
        <v>0</v>
      </c>
      <c r="K339" s="145">
        <f t="shared" si="59"/>
        <v>0</v>
      </c>
      <c r="L339" s="147"/>
    </row>
    <row r="340" spans="1:12" ht="11.25" customHeight="1">
      <c r="A340" s="65" t="s">
        <v>422</v>
      </c>
      <c r="B340" s="147"/>
      <c r="C340" s="147"/>
      <c r="D340" s="147"/>
      <c r="E340" s="147"/>
      <c r="F340" s="147">
        <f t="shared" si="56"/>
        <v>0</v>
      </c>
      <c r="G340" s="147">
        <f t="shared" si="58"/>
        <v>0</v>
      </c>
      <c r="H340" s="147"/>
      <c r="I340" s="147"/>
      <c r="J340" s="147">
        <f t="shared" si="57"/>
        <v>0</v>
      </c>
      <c r="K340" s="145">
        <f t="shared" si="59"/>
        <v>0</v>
      </c>
      <c r="L340" s="147"/>
    </row>
    <row r="341" spans="1:12" ht="11.25" customHeight="1">
      <c r="A341" s="65" t="s">
        <v>369</v>
      </c>
      <c r="B341" s="147"/>
      <c r="C341" s="147"/>
      <c r="D341" s="147"/>
      <c r="E341" s="147"/>
      <c r="F341" s="147">
        <f t="shared" si="56"/>
        <v>0</v>
      </c>
      <c r="G341" s="147">
        <f t="shared" si="58"/>
        <v>0</v>
      </c>
      <c r="H341" s="147"/>
      <c r="I341" s="147"/>
      <c r="J341" s="147">
        <f t="shared" si="57"/>
        <v>0</v>
      </c>
      <c r="K341" s="145">
        <f t="shared" si="59"/>
        <v>0</v>
      </c>
      <c r="L341" s="147"/>
    </row>
    <row r="342" spans="1:12" ht="11.25" customHeight="1">
      <c r="A342" s="65" t="s">
        <v>363</v>
      </c>
      <c r="B342" s="147"/>
      <c r="C342" s="147"/>
      <c r="D342" s="147"/>
      <c r="E342" s="147"/>
      <c r="F342" s="147">
        <f t="shared" si="56"/>
        <v>0</v>
      </c>
      <c r="G342" s="147">
        <f t="shared" si="58"/>
        <v>0</v>
      </c>
      <c r="H342" s="147"/>
      <c r="I342" s="147"/>
      <c r="J342" s="147">
        <f t="shared" si="57"/>
        <v>0</v>
      </c>
      <c r="K342" s="145">
        <f t="shared" si="59"/>
        <v>0</v>
      </c>
      <c r="L342" s="147"/>
    </row>
    <row r="343" spans="1:12" ht="11.25" customHeight="1">
      <c r="A343" s="64" t="s">
        <v>273</v>
      </c>
      <c r="B343" s="147">
        <f>SUM(B344:B348)</f>
        <v>0</v>
      </c>
      <c r="C343" s="147">
        <f>SUM(C344:C348)</f>
        <v>0</v>
      </c>
      <c r="D343" s="147">
        <f>SUM(D344:D348)</f>
        <v>0</v>
      </c>
      <c r="E343" s="147">
        <f>SUM(E344:E348)</f>
        <v>0</v>
      </c>
      <c r="F343" s="147">
        <f t="shared" si="56"/>
        <v>0</v>
      </c>
      <c r="G343" s="147">
        <f>SUM(G344:G348)</f>
        <v>0</v>
      </c>
      <c r="H343" s="147">
        <f>SUM(H344:H348)</f>
        <v>0</v>
      </c>
      <c r="I343" s="147">
        <f>SUM(I344:I348)</f>
        <v>0</v>
      </c>
      <c r="J343" s="147">
        <f t="shared" si="57"/>
        <v>0</v>
      </c>
      <c r="K343" s="145">
        <f>SUM(K344:K348)</f>
        <v>0</v>
      </c>
      <c r="L343" s="147">
        <f>SUM(L344:L348)</f>
        <v>0</v>
      </c>
    </row>
    <row r="344" spans="1:12" ht="11.25" customHeight="1">
      <c r="A344" s="65" t="s">
        <v>423</v>
      </c>
      <c r="B344" s="147"/>
      <c r="C344" s="147"/>
      <c r="D344" s="147"/>
      <c r="E344" s="147"/>
      <c r="F344" s="147">
        <f t="shared" si="56"/>
        <v>0</v>
      </c>
      <c r="G344" s="147">
        <f>C344-E344</f>
        <v>0</v>
      </c>
      <c r="H344" s="147"/>
      <c r="I344" s="147"/>
      <c r="J344" s="147">
        <f t="shared" si="57"/>
        <v>0</v>
      </c>
      <c r="K344" s="145">
        <f>C344-I344</f>
        <v>0</v>
      </c>
      <c r="L344" s="147"/>
    </row>
    <row r="345" spans="1:12" ht="11.25" customHeight="1">
      <c r="A345" s="65" t="s">
        <v>424</v>
      </c>
      <c r="B345" s="147"/>
      <c r="C345" s="147"/>
      <c r="D345" s="147"/>
      <c r="E345" s="147"/>
      <c r="F345" s="147">
        <f t="shared" si="56"/>
        <v>0</v>
      </c>
      <c r="G345" s="147">
        <f>C345-E345</f>
        <v>0</v>
      </c>
      <c r="H345" s="147"/>
      <c r="I345" s="147"/>
      <c r="J345" s="147">
        <f t="shared" si="57"/>
        <v>0</v>
      </c>
      <c r="K345" s="145">
        <f>C345-I345</f>
        <v>0</v>
      </c>
      <c r="L345" s="147"/>
    </row>
    <row r="346" spans="1:12" ht="11.25" customHeight="1">
      <c r="A346" s="65" t="s">
        <v>425</v>
      </c>
      <c r="B346" s="147"/>
      <c r="C346" s="147"/>
      <c r="D346" s="147"/>
      <c r="E346" s="147"/>
      <c r="F346" s="147">
        <f t="shared" si="56"/>
        <v>0</v>
      </c>
      <c r="G346" s="147">
        <f>C346-E346</f>
        <v>0</v>
      </c>
      <c r="H346" s="147"/>
      <c r="I346" s="147"/>
      <c r="J346" s="147">
        <f t="shared" si="57"/>
        <v>0</v>
      </c>
      <c r="K346" s="145">
        <f>C346-I346</f>
        <v>0</v>
      </c>
      <c r="L346" s="147"/>
    </row>
    <row r="347" spans="1:12" ht="11.25" customHeight="1">
      <c r="A347" s="65" t="s">
        <v>369</v>
      </c>
      <c r="B347" s="147"/>
      <c r="C347" s="147"/>
      <c r="D347" s="147"/>
      <c r="E347" s="147"/>
      <c r="F347" s="147">
        <f t="shared" si="56"/>
        <v>0</v>
      </c>
      <c r="G347" s="147">
        <f>C347-E347</f>
        <v>0</v>
      </c>
      <c r="H347" s="147"/>
      <c r="I347" s="147"/>
      <c r="J347" s="147">
        <f t="shared" si="57"/>
        <v>0</v>
      </c>
      <c r="K347" s="145">
        <f>C347-I347</f>
        <v>0</v>
      </c>
      <c r="L347" s="147"/>
    </row>
    <row r="348" spans="1:12" ht="11.25" customHeight="1">
      <c r="A348" s="65" t="s">
        <v>363</v>
      </c>
      <c r="B348" s="147"/>
      <c r="C348" s="147"/>
      <c r="D348" s="147"/>
      <c r="E348" s="147"/>
      <c r="F348" s="147">
        <f t="shared" si="56"/>
        <v>0</v>
      </c>
      <c r="G348" s="147">
        <f>C348-E348</f>
        <v>0</v>
      </c>
      <c r="H348" s="147"/>
      <c r="I348" s="147"/>
      <c r="J348" s="147">
        <f t="shared" si="57"/>
        <v>0</v>
      </c>
      <c r="K348" s="145">
        <f>C348-I348</f>
        <v>0</v>
      </c>
      <c r="L348" s="147"/>
    </row>
    <row r="349" spans="1:12" ht="11.25" customHeight="1">
      <c r="A349" s="64" t="s">
        <v>274</v>
      </c>
      <c r="B349" s="147">
        <f>SUM(B350:B356)</f>
        <v>0</v>
      </c>
      <c r="C349" s="147">
        <f>SUM(C350:C356)</f>
        <v>0</v>
      </c>
      <c r="D349" s="147">
        <f>SUM(D350:D356)</f>
        <v>0</v>
      </c>
      <c r="E349" s="147">
        <f>SUM(E350:E356)</f>
        <v>0</v>
      </c>
      <c r="F349" s="147">
        <f aca="true" t="shared" si="60" ref="F349:F380">IF($E$213&gt;0,E349/$E$213,0)*100</f>
        <v>0</v>
      </c>
      <c r="G349" s="147">
        <f>SUM(G350:G356)</f>
        <v>0</v>
      </c>
      <c r="H349" s="147">
        <f>SUM(H350:H356)</f>
        <v>0</v>
      </c>
      <c r="I349" s="147">
        <f>SUM(I350:I356)</f>
        <v>0</v>
      </c>
      <c r="J349" s="147">
        <f aca="true" t="shared" si="61" ref="J349:J380">IF($I$213&gt;0,I349/$I$213,0)*100</f>
        <v>0</v>
      </c>
      <c r="K349" s="145">
        <f>SUM(K350:K356)</f>
        <v>0</v>
      </c>
      <c r="L349" s="147">
        <f>SUM(L350:L356)</f>
        <v>0</v>
      </c>
    </row>
    <row r="350" spans="1:12" ht="11.25" customHeight="1">
      <c r="A350" s="65" t="s">
        <v>426</v>
      </c>
      <c r="B350" s="147"/>
      <c r="C350" s="147"/>
      <c r="D350" s="147"/>
      <c r="E350" s="147"/>
      <c r="F350" s="147">
        <f t="shared" si="60"/>
        <v>0</v>
      </c>
      <c r="G350" s="147">
        <f aca="true" t="shared" si="62" ref="G350:G356">C350-E350</f>
        <v>0</v>
      </c>
      <c r="H350" s="147"/>
      <c r="I350" s="147"/>
      <c r="J350" s="147">
        <f t="shared" si="61"/>
        <v>0</v>
      </c>
      <c r="K350" s="145">
        <f aca="true" t="shared" si="63" ref="K350:K356">C350-I350</f>
        <v>0</v>
      </c>
      <c r="L350" s="147"/>
    </row>
    <row r="351" spans="1:12" ht="11.25" customHeight="1">
      <c r="A351" s="65" t="s">
        <v>427</v>
      </c>
      <c r="B351" s="147"/>
      <c r="C351" s="147"/>
      <c r="D351" s="147"/>
      <c r="E351" s="147"/>
      <c r="F351" s="147">
        <f t="shared" si="60"/>
        <v>0</v>
      </c>
      <c r="G351" s="147">
        <f t="shared" si="62"/>
        <v>0</v>
      </c>
      <c r="H351" s="147"/>
      <c r="I351" s="147"/>
      <c r="J351" s="147">
        <f t="shared" si="61"/>
        <v>0</v>
      </c>
      <c r="K351" s="145">
        <f t="shared" si="63"/>
        <v>0</v>
      </c>
      <c r="L351" s="147"/>
    </row>
    <row r="352" spans="1:12" ht="11.25" customHeight="1">
      <c r="A352" s="65" t="s">
        <v>428</v>
      </c>
      <c r="B352" s="147"/>
      <c r="C352" s="147"/>
      <c r="D352" s="147"/>
      <c r="E352" s="147"/>
      <c r="F352" s="147">
        <f t="shared" si="60"/>
        <v>0</v>
      </c>
      <c r="G352" s="147">
        <f t="shared" si="62"/>
        <v>0</v>
      </c>
      <c r="H352" s="147"/>
      <c r="I352" s="147"/>
      <c r="J352" s="147">
        <f t="shared" si="61"/>
        <v>0</v>
      </c>
      <c r="K352" s="145">
        <f t="shared" si="63"/>
        <v>0</v>
      </c>
      <c r="L352" s="147"/>
    </row>
    <row r="353" spans="1:12" ht="11.25" customHeight="1">
      <c r="A353" s="65" t="s">
        <v>640</v>
      </c>
      <c r="B353" s="147"/>
      <c r="C353" s="147"/>
      <c r="D353" s="147"/>
      <c r="E353" s="147"/>
      <c r="F353" s="147">
        <f t="shared" si="60"/>
        <v>0</v>
      </c>
      <c r="G353" s="147">
        <f t="shared" si="62"/>
        <v>0</v>
      </c>
      <c r="H353" s="147"/>
      <c r="I353" s="147"/>
      <c r="J353" s="147">
        <f t="shared" si="61"/>
        <v>0</v>
      </c>
      <c r="K353" s="145">
        <f t="shared" si="63"/>
        <v>0</v>
      </c>
      <c r="L353" s="147"/>
    </row>
    <row r="354" spans="1:12" ht="11.25" customHeight="1">
      <c r="A354" s="65" t="s">
        <v>641</v>
      </c>
      <c r="B354" s="147"/>
      <c r="C354" s="147"/>
      <c r="D354" s="147"/>
      <c r="E354" s="147"/>
      <c r="F354" s="147">
        <f t="shared" si="60"/>
        <v>0</v>
      </c>
      <c r="G354" s="147">
        <f t="shared" si="62"/>
        <v>0</v>
      </c>
      <c r="H354" s="147"/>
      <c r="I354" s="147"/>
      <c r="J354" s="147">
        <f t="shared" si="61"/>
        <v>0</v>
      </c>
      <c r="K354" s="145">
        <f t="shared" si="63"/>
        <v>0</v>
      </c>
      <c r="L354" s="147"/>
    </row>
    <row r="355" spans="1:12" ht="11.25" customHeight="1">
      <c r="A355" s="65" t="s">
        <v>369</v>
      </c>
      <c r="B355" s="147"/>
      <c r="C355" s="147"/>
      <c r="D355" s="147"/>
      <c r="E355" s="147"/>
      <c r="F355" s="147">
        <f t="shared" si="60"/>
        <v>0</v>
      </c>
      <c r="G355" s="147">
        <f t="shared" si="62"/>
        <v>0</v>
      </c>
      <c r="H355" s="147"/>
      <c r="I355" s="147"/>
      <c r="J355" s="147">
        <f t="shared" si="61"/>
        <v>0</v>
      </c>
      <c r="K355" s="145">
        <f t="shared" si="63"/>
        <v>0</v>
      </c>
      <c r="L355" s="147"/>
    </row>
    <row r="356" spans="1:12" ht="11.25" customHeight="1">
      <c r="A356" s="65" t="s">
        <v>363</v>
      </c>
      <c r="B356" s="147"/>
      <c r="C356" s="147"/>
      <c r="D356" s="147"/>
      <c r="E356" s="147"/>
      <c r="F356" s="147">
        <f t="shared" si="60"/>
        <v>0</v>
      </c>
      <c r="G356" s="147">
        <f t="shared" si="62"/>
        <v>0</v>
      </c>
      <c r="H356" s="147"/>
      <c r="I356" s="147"/>
      <c r="J356" s="147">
        <f t="shared" si="61"/>
        <v>0</v>
      </c>
      <c r="K356" s="145">
        <f t="shared" si="63"/>
        <v>0</v>
      </c>
      <c r="L356" s="147"/>
    </row>
    <row r="357" spans="1:12" ht="11.25" customHeight="1">
      <c r="A357" s="64" t="s">
        <v>275</v>
      </c>
      <c r="B357" s="147">
        <f>SUM(B358:B361)</f>
        <v>0</v>
      </c>
      <c r="C357" s="147">
        <f>SUM(C358:C361)</f>
        <v>0</v>
      </c>
      <c r="D357" s="147">
        <f>SUM(D358:D361)</f>
        <v>0</v>
      </c>
      <c r="E357" s="147">
        <f>SUM(E358:E361)</f>
        <v>0</v>
      </c>
      <c r="F357" s="147">
        <f t="shared" si="60"/>
        <v>0</v>
      </c>
      <c r="G357" s="147">
        <f>SUM(G358:G361)</f>
        <v>0</v>
      </c>
      <c r="H357" s="147">
        <f>SUM(H358:H361)</f>
        <v>0</v>
      </c>
      <c r="I357" s="147">
        <f>SUM(I358:I361)</f>
        <v>0</v>
      </c>
      <c r="J357" s="147">
        <f t="shared" si="61"/>
        <v>0</v>
      </c>
      <c r="K357" s="145">
        <f>SUM(K358:K361)</f>
        <v>0</v>
      </c>
      <c r="L357" s="147">
        <f>SUM(L358:L361)</f>
        <v>0</v>
      </c>
    </row>
    <row r="358" spans="1:12" ht="11.25" customHeight="1">
      <c r="A358" s="65" t="s">
        <v>429</v>
      </c>
      <c r="B358" s="147"/>
      <c r="C358" s="147"/>
      <c r="D358" s="147"/>
      <c r="E358" s="147"/>
      <c r="F358" s="147">
        <f t="shared" si="60"/>
        <v>0</v>
      </c>
      <c r="G358" s="147">
        <f>C358-E358</f>
        <v>0</v>
      </c>
      <c r="H358" s="147"/>
      <c r="I358" s="147"/>
      <c r="J358" s="147">
        <f t="shared" si="61"/>
        <v>0</v>
      </c>
      <c r="K358" s="145">
        <f>C358-I358</f>
        <v>0</v>
      </c>
      <c r="L358" s="147"/>
    </row>
    <row r="359" spans="1:12" ht="11.25" customHeight="1">
      <c r="A359" s="65" t="s">
        <v>430</v>
      </c>
      <c r="B359" s="147"/>
      <c r="C359" s="147"/>
      <c r="D359" s="147"/>
      <c r="E359" s="147"/>
      <c r="F359" s="147">
        <f t="shared" si="60"/>
        <v>0</v>
      </c>
      <c r="G359" s="147">
        <f>C359-E359</f>
        <v>0</v>
      </c>
      <c r="H359" s="147"/>
      <c r="I359" s="147"/>
      <c r="J359" s="147">
        <f t="shared" si="61"/>
        <v>0</v>
      </c>
      <c r="K359" s="145">
        <f>C359-I359</f>
        <v>0</v>
      </c>
      <c r="L359" s="147"/>
    </row>
    <row r="360" spans="1:12" ht="11.25" customHeight="1">
      <c r="A360" s="65" t="s">
        <v>369</v>
      </c>
      <c r="B360" s="147"/>
      <c r="C360" s="147"/>
      <c r="D360" s="147"/>
      <c r="E360" s="147"/>
      <c r="F360" s="147">
        <f t="shared" si="60"/>
        <v>0</v>
      </c>
      <c r="G360" s="147">
        <f>C360-E360</f>
        <v>0</v>
      </c>
      <c r="H360" s="147"/>
      <c r="I360" s="147"/>
      <c r="J360" s="147">
        <f t="shared" si="61"/>
        <v>0</v>
      </c>
      <c r="K360" s="145">
        <f>C360-I360</f>
        <v>0</v>
      </c>
      <c r="L360" s="147"/>
    </row>
    <row r="361" spans="1:12" ht="11.25" customHeight="1">
      <c r="A361" s="65" t="s">
        <v>363</v>
      </c>
      <c r="B361" s="147"/>
      <c r="C361" s="147"/>
      <c r="D361" s="147"/>
      <c r="E361" s="147"/>
      <c r="F361" s="147">
        <f t="shared" si="60"/>
        <v>0</v>
      </c>
      <c r="G361" s="147">
        <f>C361-E361</f>
        <v>0</v>
      </c>
      <c r="H361" s="147"/>
      <c r="I361" s="147"/>
      <c r="J361" s="147">
        <f t="shared" si="61"/>
        <v>0</v>
      </c>
      <c r="K361" s="145">
        <f>C361-I361</f>
        <v>0</v>
      </c>
      <c r="L361" s="147"/>
    </row>
    <row r="362" spans="1:12" ht="11.25" customHeight="1">
      <c r="A362" s="64" t="s">
        <v>276</v>
      </c>
      <c r="B362" s="147">
        <f>SUM(B363:B369)</f>
        <v>520000</v>
      </c>
      <c r="C362" s="147">
        <f>SUM(C363:C369)</f>
        <v>520000</v>
      </c>
      <c r="D362" s="147">
        <f>SUM(D363:D369)</f>
        <v>72194.02</v>
      </c>
      <c r="E362" s="147">
        <f>SUM(E363:E369)</f>
        <v>149962.3</v>
      </c>
      <c r="F362" s="147">
        <f t="shared" si="60"/>
        <v>0.027832403781300863</v>
      </c>
      <c r="G362" s="147">
        <f>SUM(G363:G369)</f>
        <v>370037.7</v>
      </c>
      <c r="H362" s="147">
        <f>SUM(H363:H369)</f>
        <v>72314.02</v>
      </c>
      <c r="I362" s="147">
        <f>SUM(I363:I369)</f>
        <v>145190.3</v>
      </c>
      <c r="J362" s="147">
        <f t="shared" si="61"/>
        <v>0.04388187645813838</v>
      </c>
      <c r="K362" s="145">
        <f>SUM(K363:K369)</f>
        <v>374809.7</v>
      </c>
      <c r="L362" s="147">
        <f>SUM(L363:L369)</f>
        <v>0</v>
      </c>
    </row>
    <row r="363" spans="1:12" ht="11.25" customHeight="1">
      <c r="A363" s="65" t="s">
        <v>431</v>
      </c>
      <c r="B363" s="147">
        <v>520000</v>
      </c>
      <c r="C363" s="147">
        <v>520000</v>
      </c>
      <c r="D363" s="147">
        <v>72194.02</v>
      </c>
      <c r="E363" s="147">
        <v>149962.3</v>
      </c>
      <c r="F363" s="147">
        <f t="shared" si="60"/>
        <v>0.027832403781300863</v>
      </c>
      <c r="G363" s="147">
        <f aca="true" t="shared" si="64" ref="G363:G369">C363-E363</f>
        <v>370037.7</v>
      </c>
      <c r="H363" s="147">
        <v>72314.02</v>
      </c>
      <c r="I363" s="147">
        <v>145190.3</v>
      </c>
      <c r="J363" s="147">
        <f t="shared" si="61"/>
        <v>0.04388187645813838</v>
      </c>
      <c r="K363" s="145">
        <f aca="true" t="shared" si="65" ref="K363:K369">C363-I363</f>
        <v>374809.7</v>
      </c>
      <c r="L363" s="147"/>
    </row>
    <row r="364" spans="1:12" ht="11.25" customHeight="1">
      <c r="A364" s="65" t="s">
        <v>432</v>
      </c>
      <c r="B364" s="147"/>
      <c r="C364" s="147"/>
      <c r="D364" s="147"/>
      <c r="E364" s="147"/>
      <c r="F364" s="147">
        <f t="shared" si="60"/>
        <v>0</v>
      </c>
      <c r="G364" s="147">
        <f t="shared" si="64"/>
        <v>0</v>
      </c>
      <c r="H364" s="147"/>
      <c r="I364" s="147"/>
      <c r="J364" s="147">
        <f t="shared" si="61"/>
        <v>0</v>
      </c>
      <c r="K364" s="145">
        <f t="shared" si="65"/>
        <v>0</v>
      </c>
      <c r="L364" s="147"/>
    </row>
    <row r="365" spans="1:12" ht="11.25" customHeight="1">
      <c r="A365" s="65" t="s">
        <v>433</v>
      </c>
      <c r="B365" s="147"/>
      <c r="C365" s="147"/>
      <c r="D365" s="147"/>
      <c r="E365" s="147"/>
      <c r="F365" s="147">
        <f t="shared" si="60"/>
        <v>0</v>
      </c>
      <c r="G365" s="147">
        <f t="shared" si="64"/>
        <v>0</v>
      </c>
      <c r="H365" s="147"/>
      <c r="I365" s="147"/>
      <c r="J365" s="147">
        <f t="shared" si="61"/>
        <v>0</v>
      </c>
      <c r="K365" s="145">
        <f t="shared" si="65"/>
        <v>0</v>
      </c>
      <c r="L365" s="147"/>
    </row>
    <row r="366" spans="1:12" ht="11.25" customHeight="1">
      <c r="A366" s="65" t="s">
        <v>434</v>
      </c>
      <c r="B366" s="147"/>
      <c r="C366" s="147"/>
      <c r="D366" s="147"/>
      <c r="E366" s="147"/>
      <c r="F366" s="147">
        <f t="shared" si="60"/>
        <v>0</v>
      </c>
      <c r="G366" s="147">
        <f t="shared" si="64"/>
        <v>0</v>
      </c>
      <c r="H366" s="147"/>
      <c r="I366" s="147"/>
      <c r="J366" s="147">
        <f t="shared" si="61"/>
        <v>0</v>
      </c>
      <c r="K366" s="145">
        <f t="shared" si="65"/>
        <v>0</v>
      </c>
      <c r="L366" s="147"/>
    </row>
    <row r="367" spans="1:12" ht="11.25" customHeight="1">
      <c r="A367" s="65" t="s">
        <v>435</v>
      </c>
      <c r="B367" s="147"/>
      <c r="C367" s="147"/>
      <c r="D367" s="147"/>
      <c r="E367" s="147"/>
      <c r="F367" s="147">
        <f t="shared" si="60"/>
        <v>0</v>
      </c>
      <c r="G367" s="147">
        <f t="shared" si="64"/>
        <v>0</v>
      </c>
      <c r="H367" s="147"/>
      <c r="I367" s="147"/>
      <c r="J367" s="147">
        <f t="shared" si="61"/>
        <v>0</v>
      </c>
      <c r="K367" s="145">
        <f t="shared" si="65"/>
        <v>0</v>
      </c>
      <c r="L367" s="147"/>
    </row>
    <row r="368" spans="1:12" ht="11.25" customHeight="1">
      <c r="A368" s="65" t="s">
        <v>369</v>
      </c>
      <c r="B368" s="147"/>
      <c r="C368" s="147"/>
      <c r="D368" s="147"/>
      <c r="E368" s="147"/>
      <c r="F368" s="147">
        <f t="shared" si="60"/>
        <v>0</v>
      </c>
      <c r="G368" s="147">
        <f t="shared" si="64"/>
        <v>0</v>
      </c>
      <c r="H368" s="147"/>
      <c r="I368" s="147"/>
      <c r="J368" s="147">
        <f t="shared" si="61"/>
        <v>0</v>
      </c>
      <c r="K368" s="145">
        <f t="shared" si="65"/>
        <v>0</v>
      </c>
      <c r="L368" s="147"/>
    </row>
    <row r="369" spans="1:12" ht="11.25" customHeight="1">
      <c r="A369" s="65" t="s">
        <v>363</v>
      </c>
      <c r="B369" s="147"/>
      <c r="C369" s="147"/>
      <c r="D369" s="147"/>
      <c r="E369" s="147"/>
      <c r="F369" s="147">
        <f t="shared" si="60"/>
        <v>0</v>
      </c>
      <c r="G369" s="147">
        <f t="shared" si="64"/>
        <v>0</v>
      </c>
      <c r="H369" s="147"/>
      <c r="I369" s="147"/>
      <c r="J369" s="147">
        <f t="shared" si="61"/>
        <v>0</v>
      </c>
      <c r="K369" s="145">
        <f t="shared" si="65"/>
        <v>0</v>
      </c>
      <c r="L369" s="147"/>
    </row>
    <row r="370" spans="1:12" ht="11.25" customHeight="1">
      <c r="A370" s="64" t="s">
        <v>277</v>
      </c>
      <c r="B370" s="147">
        <f>SUM(B371:B377)</f>
        <v>0</v>
      </c>
      <c r="C370" s="147">
        <f>SUM(C371:C377)</f>
        <v>0</v>
      </c>
      <c r="D370" s="147">
        <f>SUM(D371:D377)</f>
        <v>0</v>
      </c>
      <c r="E370" s="147">
        <f>SUM(E371:E377)</f>
        <v>0</v>
      </c>
      <c r="F370" s="147">
        <f t="shared" si="60"/>
        <v>0</v>
      </c>
      <c r="G370" s="147">
        <f>SUM(G371:G377)</f>
        <v>0</v>
      </c>
      <c r="H370" s="147">
        <f>SUM(H371:H377)</f>
        <v>0</v>
      </c>
      <c r="I370" s="147">
        <f>SUM(I371:I377)</f>
        <v>0</v>
      </c>
      <c r="J370" s="147">
        <f t="shared" si="61"/>
        <v>0</v>
      </c>
      <c r="K370" s="145">
        <f>SUM(K371:K377)</f>
        <v>0</v>
      </c>
      <c r="L370" s="147">
        <f>SUM(L371:L377)</f>
        <v>0</v>
      </c>
    </row>
    <row r="371" spans="1:12" ht="11.25" customHeight="1">
      <c r="A371" s="65" t="s">
        <v>436</v>
      </c>
      <c r="B371" s="147"/>
      <c r="C371" s="147"/>
      <c r="D371" s="147"/>
      <c r="E371" s="147"/>
      <c r="F371" s="147">
        <f t="shared" si="60"/>
        <v>0</v>
      </c>
      <c r="G371" s="147">
        <f aca="true" t="shared" si="66" ref="G371:G377">C371-E371</f>
        <v>0</v>
      </c>
      <c r="H371" s="147"/>
      <c r="I371" s="147"/>
      <c r="J371" s="147">
        <f t="shared" si="61"/>
        <v>0</v>
      </c>
      <c r="K371" s="145">
        <f aca="true" t="shared" si="67" ref="K371:K377">C371-I371</f>
        <v>0</v>
      </c>
      <c r="L371" s="147"/>
    </row>
    <row r="372" spans="1:12" ht="11.25" customHeight="1">
      <c r="A372" s="65" t="s">
        <v>437</v>
      </c>
      <c r="B372" s="147"/>
      <c r="C372" s="147"/>
      <c r="D372" s="147"/>
      <c r="E372" s="147"/>
      <c r="F372" s="147">
        <f t="shared" si="60"/>
        <v>0</v>
      </c>
      <c r="G372" s="147">
        <f t="shared" si="66"/>
        <v>0</v>
      </c>
      <c r="H372" s="147"/>
      <c r="I372" s="147"/>
      <c r="J372" s="147">
        <f t="shared" si="61"/>
        <v>0</v>
      </c>
      <c r="K372" s="145">
        <f t="shared" si="67"/>
        <v>0</v>
      </c>
      <c r="L372" s="147"/>
    </row>
    <row r="373" spans="1:12" ht="11.25" customHeight="1">
      <c r="A373" s="65" t="s">
        <v>438</v>
      </c>
      <c r="B373" s="147"/>
      <c r="C373" s="147"/>
      <c r="D373" s="147"/>
      <c r="E373" s="147"/>
      <c r="F373" s="147">
        <f t="shared" si="60"/>
        <v>0</v>
      </c>
      <c r="G373" s="147">
        <f t="shared" si="66"/>
        <v>0</v>
      </c>
      <c r="H373" s="147"/>
      <c r="I373" s="147"/>
      <c r="J373" s="147">
        <f t="shared" si="61"/>
        <v>0</v>
      </c>
      <c r="K373" s="145">
        <f t="shared" si="67"/>
        <v>0</v>
      </c>
      <c r="L373" s="147"/>
    </row>
    <row r="374" spans="1:12" ht="11.25" customHeight="1">
      <c r="A374" s="65" t="s">
        <v>439</v>
      </c>
      <c r="B374" s="147"/>
      <c r="C374" s="147"/>
      <c r="D374" s="147"/>
      <c r="E374" s="147"/>
      <c r="F374" s="147">
        <f t="shared" si="60"/>
        <v>0</v>
      </c>
      <c r="G374" s="147">
        <f t="shared" si="66"/>
        <v>0</v>
      </c>
      <c r="H374" s="147"/>
      <c r="I374" s="147"/>
      <c r="J374" s="147">
        <f t="shared" si="61"/>
        <v>0</v>
      </c>
      <c r="K374" s="145">
        <f t="shared" si="67"/>
        <v>0</v>
      </c>
      <c r="L374" s="147"/>
    </row>
    <row r="375" spans="1:12" ht="11.25" customHeight="1">
      <c r="A375" s="65" t="s">
        <v>440</v>
      </c>
      <c r="B375" s="147"/>
      <c r="C375" s="147"/>
      <c r="D375" s="147"/>
      <c r="E375" s="147"/>
      <c r="F375" s="147">
        <f t="shared" si="60"/>
        <v>0</v>
      </c>
      <c r="G375" s="147">
        <f t="shared" si="66"/>
        <v>0</v>
      </c>
      <c r="H375" s="147"/>
      <c r="I375" s="147"/>
      <c r="J375" s="147">
        <f t="shared" si="61"/>
        <v>0</v>
      </c>
      <c r="K375" s="145">
        <f t="shared" si="67"/>
        <v>0</v>
      </c>
      <c r="L375" s="147"/>
    </row>
    <row r="376" spans="1:12" ht="11.25" customHeight="1">
      <c r="A376" s="65" t="s">
        <v>369</v>
      </c>
      <c r="B376" s="147"/>
      <c r="C376" s="147"/>
      <c r="D376" s="147"/>
      <c r="E376" s="147"/>
      <c r="F376" s="147">
        <f t="shared" si="60"/>
        <v>0</v>
      </c>
      <c r="G376" s="147">
        <f t="shared" si="66"/>
        <v>0</v>
      </c>
      <c r="H376" s="147"/>
      <c r="I376" s="147"/>
      <c r="J376" s="147">
        <f t="shared" si="61"/>
        <v>0</v>
      </c>
      <c r="K376" s="145">
        <f t="shared" si="67"/>
        <v>0</v>
      </c>
      <c r="L376" s="147"/>
    </row>
    <row r="377" spans="1:12" ht="11.25" customHeight="1">
      <c r="A377" s="65" t="s">
        <v>363</v>
      </c>
      <c r="B377" s="147"/>
      <c r="C377" s="147"/>
      <c r="D377" s="147"/>
      <c r="E377" s="147"/>
      <c r="F377" s="147">
        <f t="shared" si="60"/>
        <v>0</v>
      </c>
      <c r="G377" s="147">
        <f t="shared" si="66"/>
        <v>0</v>
      </c>
      <c r="H377" s="147"/>
      <c r="I377" s="147"/>
      <c r="J377" s="147">
        <f t="shared" si="61"/>
        <v>0</v>
      </c>
      <c r="K377" s="145">
        <f t="shared" si="67"/>
        <v>0</v>
      </c>
      <c r="L377" s="147"/>
    </row>
    <row r="378" spans="1:12" ht="11.25" customHeight="1">
      <c r="A378" s="64" t="s">
        <v>278</v>
      </c>
      <c r="B378" s="147">
        <f>SUM(B379:B382)</f>
        <v>0</v>
      </c>
      <c r="C378" s="147">
        <f>SUM(C379:C382)</f>
        <v>0</v>
      </c>
      <c r="D378" s="147">
        <f>SUM(D379:D382)</f>
        <v>0</v>
      </c>
      <c r="E378" s="147">
        <f>SUM(E379:E382)</f>
        <v>0</v>
      </c>
      <c r="F378" s="147">
        <f t="shared" si="60"/>
        <v>0</v>
      </c>
      <c r="G378" s="147">
        <f>SUM(G379:G382)</f>
        <v>0</v>
      </c>
      <c r="H378" s="147">
        <f>SUM(H379:H382)</f>
        <v>0</v>
      </c>
      <c r="I378" s="147">
        <f>SUM(I379:I382)</f>
        <v>0</v>
      </c>
      <c r="J378" s="147">
        <f t="shared" si="61"/>
        <v>0</v>
      </c>
      <c r="K378" s="145">
        <f>SUM(K379:K382)</f>
        <v>0</v>
      </c>
      <c r="L378" s="147">
        <f>SUM(L379:L382)</f>
        <v>0</v>
      </c>
    </row>
    <row r="379" spans="1:12" ht="11.25" customHeight="1">
      <c r="A379" s="65" t="s">
        <v>441</v>
      </c>
      <c r="B379" s="147"/>
      <c r="C379" s="147"/>
      <c r="D379" s="147"/>
      <c r="E379" s="147"/>
      <c r="F379" s="147">
        <f t="shared" si="60"/>
        <v>0</v>
      </c>
      <c r="G379" s="147">
        <f>C379-E379</f>
        <v>0</v>
      </c>
      <c r="H379" s="147"/>
      <c r="I379" s="147"/>
      <c r="J379" s="147">
        <f t="shared" si="61"/>
        <v>0</v>
      </c>
      <c r="K379" s="145">
        <f>C379-I379</f>
        <v>0</v>
      </c>
      <c r="L379" s="147"/>
    </row>
    <row r="380" spans="1:12" ht="11.25" customHeight="1">
      <c r="A380" s="65" t="s">
        <v>442</v>
      </c>
      <c r="B380" s="147"/>
      <c r="C380" s="147"/>
      <c r="D380" s="147"/>
      <c r="E380" s="147"/>
      <c r="F380" s="147">
        <f t="shared" si="60"/>
        <v>0</v>
      </c>
      <c r="G380" s="147">
        <f>C380-E380</f>
        <v>0</v>
      </c>
      <c r="H380" s="147"/>
      <c r="I380" s="147"/>
      <c r="J380" s="147">
        <f t="shared" si="61"/>
        <v>0</v>
      </c>
      <c r="K380" s="145">
        <f>C380-I380</f>
        <v>0</v>
      </c>
      <c r="L380" s="147"/>
    </row>
    <row r="381" spans="1:12" ht="11.25" customHeight="1">
      <c r="A381" s="65" t="s">
        <v>369</v>
      </c>
      <c r="B381" s="147"/>
      <c r="C381" s="147"/>
      <c r="D381" s="147"/>
      <c r="E381" s="147"/>
      <c r="F381" s="147">
        <f aca="true" t="shared" si="68" ref="F381:F412">IF($E$213&gt;0,E381/$E$213,0)*100</f>
        <v>0</v>
      </c>
      <c r="G381" s="147">
        <f>C381-E381</f>
        <v>0</v>
      </c>
      <c r="H381" s="147"/>
      <c r="I381" s="147"/>
      <c r="J381" s="147">
        <f aca="true" t="shared" si="69" ref="J381:J412">IF($I$213&gt;0,I381/$I$213,0)*100</f>
        <v>0</v>
      </c>
      <c r="K381" s="145">
        <f>C381-I381</f>
        <v>0</v>
      </c>
      <c r="L381" s="147"/>
    </row>
    <row r="382" spans="1:12" ht="11.25" customHeight="1">
      <c r="A382" s="65" t="s">
        <v>363</v>
      </c>
      <c r="B382" s="147"/>
      <c r="C382" s="147"/>
      <c r="D382" s="147"/>
      <c r="E382" s="147"/>
      <c r="F382" s="147">
        <f t="shared" si="68"/>
        <v>0</v>
      </c>
      <c r="G382" s="147">
        <f>C382-E382</f>
        <v>0</v>
      </c>
      <c r="H382" s="147"/>
      <c r="I382" s="147"/>
      <c r="J382" s="147">
        <f t="shared" si="69"/>
        <v>0</v>
      </c>
      <c r="K382" s="145">
        <f>C382-I382</f>
        <v>0</v>
      </c>
      <c r="L382" s="147"/>
    </row>
    <row r="383" spans="1:12" ht="11.25" customHeight="1">
      <c r="A383" s="64" t="s">
        <v>279</v>
      </c>
      <c r="B383" s="147">
        <f>SUM(B384:B389)</f>
        <v>0</v>
      </c>
      <c r="C383" s="147">
        <f>SUM(C384:C389)</f>
        <v>0</v>
      </c>
      <c r="D383" s="147">
        <f>SUM(D384:D389)</f>
        <v>0</v>
      </c>
      <c r="E383" s="147">
        <f>SUM(E384:E389)</f>
        <v>0</v>
      </c>
      <c r="F383" s="147">
        <f t="shared" si="68"/>
        <v>0</v>
      </c>
      <c r="G383" s="147">
        <f>SUM(G384:G389)</f>
        <v>0</v>
      </c>
      <c r="H383" s="147">
        <f>SUM(H384:H389)</f>
        <v>0</v>
      </c>
      <c r="I383" s="147">
        <f>SUM(I384:I389)</f>
        <v>0</v>
      </c>
      <c r="J383" s="147">
        <f t="shared" si="69"/>
        <v>0</v>
      </c>
      <c r="K383" s="145">
        <f>SUM(K384:K389)</f>
        <v>0</v>
      </c>
      <c r="L383" s="147">
        <f>SUM(L384:L389)</f>
        <v>0</v>
      </c>
    </row>
    <row r="384" spans="1:12" ht="11.25" customHeight="1">
      <c r="A384" s="65" t="s">
        <v>443</v>
      </c>
      <c r="B384" s="147"/>
      <c r="C384" s="147"/>
      <c r="D384" s="147"/>
      <c r="E384" s="147"/>
      <c r="F384" s="147">
        <f t="shared" si="68"/>
        <v>0</v>
      </c>
      <c r="G384" s="147">
        <f aca="true" t="shared" si="70" ref="G384:G389">C384-E384</f>
        <v>0</v>
      </c>
      <c r="H384" s="147"/>
      <c r="I384" s="147"/>
      <c r="J384" s="147">
        <f t="shared" si="69"/>
        <v>0</v>
      </c>
      <c r="K384" s="145">
        <f aca="true" t="shared" si="71" ref="K384:K389">C384-I384</f>
        <v>0</v>
      </c>
      <c r="L384" s="147"/>
    </row>
    <row r="385" spans="1:12" ht="11.25" customHeight="1">
      <c r="A385" s="65" t="s">
        <v>444</v>
      </c>
      <c r="B385" s="147"/>
      <c r="C385" s="147"/>
      <c r="D385" s="147"/>
      <c r="E385" s="147"/>
      <c r="F385" s="147">
        <f t="shared" si="68"/>
        <v>0</v>
      </c>
      <c r="G385" s="147">
        <f t="shared" si="70"/>
        <v>0</v>
      </c>
      <c r="H385" s="147"/>
      <c r="I385" s="147"/>
      <c r="J385" s="147">
        <f t="shared" si="69"/>
        <v>0</v>
      </c>
      <c r="K385" s="145">
        <f t="shared" si="71"/>
        <v>0</v>
      </c>
      <c r="L385" s="147"/>
    </row>
    <row r="386" spans="1:12" ht="11.25" customHeight="1">
      <c r="A386" s="65" t="s">
        <v>445</v>
      </c>
      <c r="B386" s="147"/>
      <c r="C386" s="147"/>
      <c r="D386" s="147"/>
      <c r="E386" s="147"/>
      <c r="F386" s="147">
        <f t="shared" si="68"/>
        <v>0</v>
      </c>
      <c r="G386" s="147">
        <f t="shared" si="70"/>
        <v>0</v>
      </c>
      <c r="H386" s="147"/>
      <c r="I386" s="147"/>
      <c r="J386" s="147">
        <f t="shared" si="69"/>
        <v>0</v>
      </c>
      <c r="K386" s="145">
        <f t="shared" si="71"/>
        <v>0</v>
      </c>
      <c r="L386" s="147"/>
    </row>
    <row r="387" spans="1:12" ht="11.25" customHeight="1">
      <c r="A387" s="65" t="s">
        <v>446</v>
      </c>
      <c r="B387" s="147"/>
      <c r="C387" s="147"/>
      <c r="D387" s="147"/>
      <c r="E387" s="147"/>
      <c r="F387" s="147">
        <f t="shared" si="68"/>
        <v>0</v>
      </c>
      <c r="G387" s="147">
        <f t="shared" si="70"/>
        <v>0</v>
      </c>
      <c r="H387" s="147"/>
      <c r="I387" s="147"/>
      <c r="J387" s="147">
        <f t="shared" si="69"/>
        <v>0</v>
      </c>
      <c r="K387" s="145">
        <f t="shared" si="71"/>
        <v>0</v>
      </c>
      <c r="L387" s="147"/>
    </row>
    <row r="388" spans="1:12" ht="11.25" customHeight="1">
      <c r="A388" s="65" t="s">
        <v>369</v>
      </c>
      <c r="B388" s="147"/>
      <c r="C388" s="147"/>
      <c r="D388" s="147"/>
      <c r="E388" s="147"/>
      <c r="F388" s="147">
        <f t="shared" si="68"/>
        <v>0</v>
      </c>
      <c r="G388" s="147">
        <f t="shared" si="70"/>
        <v>0</v>
      </c>
      <c r="H388" s="147"/>
      <c r="I388" s="147"/>
      <c r="J388" s="147">
        <f t="shared" si="69"/>
        <v>0</v>
      </c>
      <c r="K388" s="145">
        <f t="shared" si="71"/>
        <v>0</v>
      </c>
      <c r="L388" s="147"/>
    </row>
    <row r="389" spans="1:12" ht="11.25" customHeight="1">
      <c r="A389" s="65" t="s">
        <v>363</v>
      </c>
      <c r="B389" s="147"/>
      <c r="C389" s="147"/>
      <c r="D389" s="147"/>
      <c r="E389" s="147"/>
      <c r="F389" s="147">
        <f t="shared" si="68"/>
        <v>0</v>
      </c>
      <c r="G389" s="147">
        <f t="shared" si="70"/>
        <v>0</v>
      </c>
      <c r="H389" s="147"/>
      <c r="I389" s="147"/>
      <c r="J389" s="147">
        <f t="shared" si="69"/>
        <v>0</v>
      </c>
      <c r="K389" s="145">
        <f t="shared" si="71"/>
        <v>0</v>
      </c>
      <c r="L389" s="147"/>
    </row>
    <row r="390" spans="1:12" ht="11.25" customHeight="1">
      <c r="A390" s="64" t="s">
        <v>280</v>
      </c>
      <c r="B390" s="147">
        <f>SUM(B391:B397)</f>
        <v>0</v>
      </c>
      <c r="C390" s="147">
        <f>SUM(C391:C397)</f>
        <v>0</v>
      </c>
      <c r="D390" s="147">
        <f>SUM(D391:D397)</f>
        <v>0</v>
      </c>
      <c r="E390" s="147">
        <f>SUM(E391:E397)</f>
        <v>0</v>
      </c>
      <c r="F390" s="147">
        <f t="shared" si="68"/>
        <v>0</v>
      </c>
      <c r="G390" s="147">
        <f>SUM(G391:G397)</f>
        <v>0</v>
      </c>
      <c r="H390" s="147">
        <f>SUM(H391:H397)</f>
        <v>0</v>
      </c>
      <c r="I390" s="147">
        <f>SUM(I391:I397)</f>
        <v>0</v>
      </c>
      <c r="J390" s="147">
        <f t="shared" si="69"/>
        <v>0</v>
      </c>
      <c r="K390" s="145">
        <f>SUM(K391:K397)</f>
        <v>0</v>
      </c>
      <c r="L390" s="147">
        <f>SUM(L391:L397)</f>
        <v>0</v>
      </c>
    </row>
    <row r="391" spans="1:12" ht="11.25" customHeight="1">
      <c r="A391" s="65" t="s">
        <v>447</v>
      </c>
      <c r="B391" s="147"/>
      <c r="C391" s="147"/>
      <c r="D391" s="147"/>
      <c r="E391" s="147"/>
      <c r="F391" s="147">
        <f t="shared" si="68"/>
        <v>0</v>
      </c>
      <c r="G391" s="147">
        <f aca="true" t="shared" si="72" ref="G391:G397">C391-E391</f>
        <v>0</v>
      </c>
      <c r="H391" s="147"/>
      <c r="I391" s="147"/>
      <c r="J391" s="147">
        <f t="shared" si="69"/>
        <v>0</v>
      </c>
      <c r="K391" s="145">
        <f aca="true" t="shared" si="73" ref="K391:K397">C391-I391</f>
        <v>0</v>
      </c>
      <c r="L391" s="147"/>
    </row>
    <row r="392" spans="1:12" ht="11.25" customHeight="1">
      <c r="A392" s="65" t="s">
        <v>448</v>
      </c>
      <c r="B392" s="147"/>
      <c r="C392" s="147"/>
      <c r="D392" s="147"/>
      <c r="E392" s="147"/>
      <c r="F392" s="147">
        <f t="shared" si="68"/>
        <v>0</v>
      </c>
      <c r="G392" s="147">
        <f t="shared" si="72"/>
        <v>0</v>
      </c>
      <c r="H392" s="147"/>
      <c r="I392" s="147"/>
      <c r="J392" s="147">
        <f t="shared" si="69"/>
        <v>0</v>
      </c>
      <c r="K392" s="145">
        <f t="shared" si="73"/>
        <v>0</v>
      </c>
      <c r="L392" s="147"/>
    </row>
    <row r="393" spans="1:12" ht="11.25" customHeight="1">
      <c r="A393" s="65" t="s">
        <v>449</v>
      </c>
      <c r="B393" s="147"/>
      <c r="C393" s="147"/>
      <c r="D393" s="147"/>
      <c r="E393" s="147"/>
      <c r="F393" s="147">
        <f t="shared" si="68"/>
        <v>0</v>
      </c>
      <c r="G393" s="147">
        <f t="shared" si="72"/>
        <v>0</v>
      </c>
      <c r="H393" s="147"/>
      <c r="I393" s="147"/>
      <c r="J393" s="147">
        <f t="shared" si="69"/>
        <v>0</v>
      </c>
      <c r="K393" s="145">
        <f t="shared" si="73"/>
        <v>0</v>
      </c>
      <c r="L393" s="147"/>
    </row>
    <row r="394" spans="1:12" ht="11.25" customHeight="1">
      <c r="A394" s="65" t="s">
        <v>450</v>
      </c>
      <c r="B394" s="147"/>
      <c r="C394" s="147"/>
      <c r="D394" s="147"/>
      <c r="E394" s="147"/>
      <c r="F394" s="147">
        <f t="shared" si="68"/>
        <v>0</v>
      </c>
      <c r="G394" s="147">
        <f t="shared" si="72"/>
        <v>0</v>
      </c>
      <c r="H394" s="147"/>
      <c r="I394" s="147"/>
      <c r="J394" s="147">
        <f t="shared" si="69"/>
        <v>0</v>
      </c>
      <c r="K394" s="145">
        <f t="shared" si="73"/>
        <v>0</v>
      </c>
      <c r="L394" s="147"/>
    </row>
    <row r="395" spans="1:12" ht="11.25" customHeight="1">
      <c r="A395" s="65" t="s">
        <v>451</v>
      </c>
      <c r="B395" s="147"/>
      <c r="C395" s="147"/>
      <c r="D395" s="147"/>
      <c r="E395" s="147"/>
      <c r="F395" s="147">
        <f t="shared" si="68"/>
        <v>0</v>
      </c>
      <c r="G395" s="147">
        <f t="shared" si="72"/>
        <v>0</v>
      </c>
      <c r="H395" s="147"/>
      <c r="I395" s="147"/>
      <c r="J395" s="147">
        <f t="shared" si="69"/>
        <v>0</v>
      </c>
      <c r="K395" s="145">
        <f t="shared" si="73"/>
        <v>0</v>
      </c>
      <c r="L395" s="147"/>
    </row>
    <row r="396" spans="1:12" ht="11.25" customHeight="1">
      <c r="A396" s="65" t="s">
        <v>369</v>
      </c>
      <c r="B396" s="147"/>
      <c r="C396" s="147"/>
      <c r="D396" s="147"/>
      <c r="E396" s="147"/>
      <c r="F396" s="147">
        <f t="shared" si="68"/>
        <v>0</v>
      </c>
      <c r="G396" s="147">
        <f t="shared" si="72"/>
        <v>0</v>
      </c>
      <c r="H396" s="147"/>
      <c r="I396" s="147"/>
      <c r="J396" s="147">
        <f t="shared" si="69"/>
        <v>0</v>
      </c>
      <c r="K396" s="145">
        <f t="shared" si="73"/>
        <v>0</v>
      </c>
      <c r="L396" s="147"/>
    </row>
    <row r="397" spans="1:12" ht="11.25" customHeight="1">
      <c r="A397" s="65" t="s">
        <v>363</v>
      </c>
      <c r="B397" s="147"/>
      <c r="C397" s="147"/>
      <c r="D397" s="147"/>
      <c r="E397" s="147"/>
      <c r="F397" s="147">
        <f t="shared" si="68"/>
        <v>0</v>
      </c>
      <c r="G397" s="147">
        <f t="shared" si="72"/>
        <v>0</v>
      </c>
      <c r="H397" s="147"/>
      <c r="I397" s="147"/>
      <c r="J397" s="147">
        <f t="shared" si="69"/>
        <v>0</v>
      </c>
      <c r="K397" s="145">
        <f t="shared" si="73"/>
        <v>0</v>
      </c>
      <c r="L397" s="147"/>
    </row>
    <row r="398" spans="1:12" ht="11.25" customHeight="1">
      <c r="A398" s="64" t="s">
        <v>281</v>
      </c>
      <c r="B398" s="147">
        <f>SUM(B399:B403)</f>
        <v>1685000</v>
      </c>
      <c r="C398" s="147">
        <f>SUM(C399:C403)</f>
        <v>1685000</v>
      </c>
      <c r="D398" s="147">
        <f>SUM(D399:D403)</f>
        <v>292506.12</v>
      </c>
      <c r="E398" s="147">
        <f>SUM(E399:E403)</f>
        <v>576013.96</v>
      </c>
      <c r="F398" s="147">
        <f t="shared" si="68"/>
        <v>0.10690588980287768</v>
      </c>
      <c r="G398" s="147">
        <f>SUM(G399:G403)</f>
        <v>1108986.04</v>
      </c>
      <c r="H398" s="147">
        <f>SUM(H399:H403)</f>
        <v>292506.12</v>
      </c>
      <c r="I398" s="147">
        <f>SUM(I399:I403)</f>
        <v>576013.96</v>
      </c>
      <c r="J398" s="147">
        <f t="shared" si="69"/>
        <v>0.17409271439540427</v>
      </c>
      <c r="K398" s="145">
        <f>SUM(K399:K403)</f>
        <v>1108986.04</v>
      </c>
      <c r="L398" s="147">
        <f>SUM(L399:L403)</f>
        <v>0</v>
      </c>
    </row>
    <row r="399" spans="1:12" ht="11.25" customHeight="1">
      <c r="A399" s="65" t="s">
        <v>452</v>
      </c>
      <c r="B399" s="147"/>
      <c r="C399" s="147"/>
      <c r="D399" s="147"/>
      <c r="E399" s="147"/>
      <c r="F399" s="147">
        <f t="shared" si="68"/>
        <v>0</v>
      </c>
      <c r="G399" s="147">
        <f>C399-E399</f>
        <v>0</v>
      </c>
      <c r="H399" s="147"/>
      <c r="I399" s="147"/>
      <c r="J399" s="147">
        <f t="shared" si="69"/>
        <v>0</v>
      </c>
      <c r="K399" s="145">
        <f>C399-I399</f>
        <v>0</v>
      </c>
      <c r="L399" s="147"/>
    </row>
    <row r="400" spans="1:12" ht="11.25" customHeight="1">
      <c r="A400" s="65" t="s">
        <v>453</v>
      </c>
      <c r="B400" s="147">
        <v>1685000</v>
      </c>
      <c r="C400" s="147">
        <v>1685000</v>
      </c>
      <c r="D400" s="147">
        <v>292506.12</v>
      </c>
      <c r="E400" s="147">
        <v>576013.96</v>
      </c>
      <c r="F400" s="147">
        <f t="shared" si="68"/>
        <v>0.10690588980287768</v>
      </c>
      <c r="G400" s="147">
        <f>C400-E400</f>
        <v>1108986.04</v>
      </c>
      <c r="H400" s="147">
        <v>292506.12</v>
      </c>
      <c r="I400" s="147">
        <v>576013.96</v>
      </c>
      <c r="J400" s="147">
        <f t="shared" si="69"/>
        <v>0.17409271439540427</v>
      </c>
      <c r="K400" s="145">
        <f>C400-I400</f>
        <v>1108986.04</v>
      </c>
      <c r="L400" s="147"/>
    </row>
    <row r="401" spans="1:12" ht="11.25" customHeight="1">
      <c r="A401" s="65" t="s">
        <v>454</v>
      </c>
      <c r="B401" s="147"/>
      <c r="C401" s="147"/>
      <c r="D401" s="147"/>
      <c r="E401" s="147"/>
      <c r="F401" s="147">
        <f t="shared" si="68"/>
        <v>0</v>
      </c>
      <c r="G401" s="147">
        <f>C401-E401</f>
        <v>0</v>
      </c>
      <c r="H401" s="147"/>
      <c r="I401" s="147"/>
      <c r="J401" s="147">
        <f t="shared" si="69"/>
        <v>0</v>
      </c>
      <c r="K401" s="145">
        <f>C401-I401</f>
        <v>0</v>
      </c>
      <c r="L401" s="147"/>
    </row>
    <row r="402" spans="1:12" ht="11.25" customHeight="1">
      <c r="A402" s="65" t="s">
        <v>369</v>
      </c>
      <c r="B402" s="147"/>
      <c r="C402" s="147"/>
      <c r="D402" s="147"/>
      <c r="E402" s="147"/>
      <c r="F402" s="147">
        <f t="shared" si="68"/>
        <v>0</v>
      </c>
      <c r="G402" s="147">
        <f>C402-E402</f>
        <v>0</v>
      </c>
      <c r="H402" s="147"/>
      <c r="I402" s="147"/>
      <c r="J402" s="147">
        <f t="shared" si="69"/>
        <v>0</v>
      </c>
      <c r="K402" s="145">
        <f>C402-I402</f>
        <v>0</v>
      </c>
      <c r="L402" s="147"/>
    </row>
    <row r="403" spans="1:12" ht="11.25" customHeight="1">
      <c r="A403" s="65" t="s">
        <v>363</v>
      </c>
      <c r="B403" s="147"/>
      <c r="C403" s="147"/>
      <c r="D403" s="147"/>
      <c r="E403" s="147"/>
      <c r="F403" s="147">
        <f t="shared" si="68"/>
        <v>0</v>
      </c>
      <c r="G403" s="147">
        <f>C403-E403</f>
        <v>0</v>
      </c>
      <c r="H403" s="147"/>
      <c r="I403" s="147"/>
      <c r="J403" s="147">
        <f t="shared" si="69"/>
        <v>0</v>
      </c>
      <c r="K403" s="145">
        <f>C403-I403</f>
        <v>0</v>
      </c>
      <c r="L403" s="147"/>
    </row>
    <row r="404" spans="1:12" ht="11.25" customHeight="1">
      <c r="A404" s="64" t="s">
        <v>282</v>
      </c>
      <c r="B404" s="147">
        <f>SUM(B405:B413)</f>
        <v>420000</v>
      </c>
      <c r="C404" s="147">
        <f>SUM(C405:C413)</f>
        <v>420000</v>
      </c>
      <c r="D404" s="147">
        <f>SUM(D405:D413)</f>
        <v>66230.54</v>
      </c>
      <c r="E404" s="147">
        <f>SUM(E405:E413)</f>
        <v>121827.33</v>
      </c>
      <c r="F404" s="147">
        <f t="shared" si="68"/>
        <v>0.022610665748376682</v>
      </c>
      <c r="G404" s="147">
        <f>SUM(G405:G413)</f>
        <v>298172.67</v>
      </c>
      <c r="H404" s="147">
        <f>SUM(H405:H413)</f>
        <v>66230.54</v>
      </c>
      <c r="I404" s="147">
        <f>SUM(I405:I413)</f>
        <v>121827.33</v>
      </c>
      <c r="J404" s="147">
        <f t="shared" si="69"/>
        <v>0.036820723176994995</v>
      </c>
      <c r="K404" s="145">
        <f>SUM(K405:K413)</f>
        <v>298172.67</v>
      </c>
      <c r="L404" s="147">
        <f>SUM(L405:L413)</f>
        <v>0</v>
      </c>
    </row>
    <row r="405" spans="1:12" ht="11.25" customHeight="1">
      <c r="A405" s="65" t="s">
        <v>455</v>
      </c>
      <c r="B405" s="147"/>
      <c r="C405" s="147"/>
      <c r="D405" s="147"/>
      <c r="E405" s="147"/>
      <c r="F405" s="147">
        <f t="shared" si="68"/>
        <v>0</v>
      </c>
      <c r="G405" s="147">
        <f aca="true" t="shared" si="74" ref="G405:G412">C405-E405</f>
        <v>0</v>
      </c>
      <c r="H405" s="147"/>
      <c r="I405" s="147"/>
      <c r="J405" s="147">
        <f t="shared" si="69"/>
        <v>0</v>
      </c>
      <c r="K405" s="145">
        <f aca="true" t="shared" si="75" ref="K405:K412">C405-I405</f>
        <v>0</v>
      </c>
      <c r="L405" s="147"/>
    </row>
    <row r="406" spans="1:12" ht="11.25" customHeight="1">
      <c r="A406" s="65" t="s">
        <v>456</v>
      </c>
      <c r="B406" s="147"/>
      <c r="C406" s="147"/>
      <c r="D406" s="147"/>
      <c r="E406" s="147"/>
      <c r="F406" s="147">
        <f t="shared" si="68"/>
        <v>0</v>
      </c>
      <c r="G406" s="147">
        <f t="shared" si="74"/>
        <v>0</v>
      </c>
      <c r="H406" s="147"/>
      <c r="I406" s="147"/>
      <c r="J406" s="147">
        <f t="shared" si="69"/>
        <v>0</v>
      </c>
      <c r="K406" s="145">
        <f t="shared" si="75"/>
        <v>0</v>
      </c>
      <c r="L406" s="147"/>
    </row>
    <row r="407" spans="1:12" ht="11.25" customHeight="1">
      <c r="A407" s="65" t="s">
        <v>457</v>
      </c>
      <c r="B407" s="147"/>
      <c r="C407" s="147"/>
      <c r="D407" s="147"/>
      <c r="E407" s="147"/>
      <c r="F407" s="147">
        <f t="shared" si="68"/>
        <v>0</v>
      </c>
      <c r="G407" s="147">
        <f t="shared" si="74"/>
        <v>0</v>
      </c>
      <c r="H407" s="147"/>
      <c r="I407" s="147"/>
      <c r="J407" s="147">
        <f t="shared" si="69"/>
        <v>0</v>
      </c>
      <c r="K407" s="145">
        <f t="shared" si="75"/>
        <v>0</v>
      </c>
      <c r="L407" s="147"/>
    </row>
    <row r="408" spans="1:12" ht="11.25" customHeight="1">
      <c r="A408" s="65" t="s">
        <v>458</v>
      </c>
      <c r="B408" s="147"/>
      <c r="C408" s="147"/>
      <c r="D408" s="147"/>
      <c r="E408" s="147"/>
      <c r="F408" s="147">
        <f t="shared" si="68"/>
        <v>0</v>
      </c>
      <c r="G408" s="147">
        <f t="shared" si="74"/>
        <v>0</v>
      </c>
      <c r="H408" s="147"/>
      <c r="I408" s="147"/>
      <c r="J408" s="147">
        <f t="shared" si="69"/>
        <v>0</v>
      </c>
      <c r="K408" s="145">
        <f t="shared" si="75"/>
        <v>0</v>
      </c>
      <c r="L408" s="147"/>
    </row>
    <row r="409" spans="1:12" ht="11.25" customHeight="1">
      <c r="A409" s="65" t="s">
        <v>459</v>
      </c>
      <c r="B409" s="147"/>
      <c r="C409" s="147"/>
      <c r="D409" s="147"/>
      <c r="E409" s="147"/>
      <c r="F409" s="147">
        <f t="shared" si="68"/>
        <v>0</v>
      </c>
      <c r="G409" s="147">
        <f t="shared" si="74"/>
        <v>0</v>
      </c>
      <c r="H409" s="147"/>
      <c r="I409" s="147"/>
      <c r="J409" s="147">
        <f t="shared" si="69"/>
        <v>0</v>
      </c>
      <c r="K409" s="145">
        <f t="shared" si="75"/>
        <v>0</v>
      </c>
      <c r="L409" s="147"/>
    </row>
    <row r="410" spans="1:12" ht="11.25" customHeight="1">
      <c r="A410" s="65" t="s">
        <v>460</v>
      </c>
      <c r="B410" s="147">
        <v>420000</v>
      </c>
      <c r="C410" s="147">
        <v>420000</v>
      </c>
      <c r="D410" s="147">
        <v>66230.54</v>
      </c>
      <c r="E410" s="147">
        <v>121827.33</v>
      </c>
      <c r="F410" s="147">
        <f t="shared" si="68"/>
        <v>0.022610665748376682</v>
      </c>
      <c r="G410" s="147">
        <f t="shared" si="74"/>
        <v>298172.67</v>
      </c>
      <c r="H410" s="147">
        <v>66230.54</v>
      </c>
      <c r="I410" s="147">
        <v>121827.33</v>
      </c>
      <c r="J410" s="147">
        <f t="shared" si="69"/>
        <v>0.036820723176994995</v>
      </c>
      <c r="K410" s="145">
        <f t="shared" si="75"/>
        <v>298172.67</v>
      </c>
      <c r="L410" s="147"/>
    </row>
    <row r="411" spans="1:12" ht="11.25" customHeight="1">
      <c r="A411" s="65" t="s">
        <v>622</v>
      </c>
      <c r="B411" s="147"/>
      <c r="C411" s="147"/>
      <c r="D411" s="147"/>
      <c r="E411" s="147"/>
      <c r="F411" s="147">
        <f t="shared" si="68"/>
        <v>0</v>
      </c>
      <c r="G411" s="147">
        <f t="shared" si="74"/>
        <v>0</v>
      </c>
      <c r="H411" s="147"/>
      <c r="I411" s="147"/>
      <c r="J411" s="147">
        <f t="shared" si="69"/>
        <v>0</v>
      </c>
      <c r="K411" s="145">
        <f t="shared" si="75"/>
        <v>0</v>
      </c>
      <c r="L411" s="147"/>
    </row>
    <row r="412" spans="1:12" ht="11.25" customHeight="1">
      <c r="A412" s="65" t="s">
        <v>363</v>
      </c>
      <c r="B412" s="169"/>
      <c r="C412" s="169"/>
      <c r="D412" s="169"/>
      <c r="E412" s="169"/>
      <c r="F412" s="169">
        <f t="shared" si="68"/>
        <v>0</v>
      </c>
      <c r="G412" s="169">
        <f t="shared" si="74"/>
        <v>0</v>
      </c>
      <c r="H412" s="169"/>
      <c r="I412" s="169"/>
      <c r="J412" s="169">
        <f t="shared" si="69"/>
        <v>0</v>
      </c>
      <c r="K412" s="170">
        <f t="shared" si="75"/>
        <v>0</v>
      </c>
      <c r="L412" s="169"/>
    </row>
    <row r="413" spans="1:12" ht="11.25" customHeight="1">
      <c r="A413" s="64" t="s">
        <v>65</v>
      </c>
      <c r="B413" s="169"/>
      <c r="C413" s="169"/>
      <c r="D413" s="169"/>
      <c r="E413" s="169"/>
      <c r="F413" s="169"/>
      <c r="G413" s="169"/>
      <c r="H413" s="169"/>
      <c r="I413" s="169"/>
      <c r="J413" s="169"/>
      <c r="K413" s="170"/>
      <c r="L413" s="169"/>
    </row>
    <row r="414" spans="1:12" ht="11.25" customHeight="1">
      <c r="A414" s="790" t="s">
        <v>1063</v>
      </c>
      <c r="B414" s="799"/>
      <c r="C414" s="799"/>
      <c r="D414" s="799"/>
      <c r="E414" s="799"/>
      <c r="F414" s="799"/>
      <c r="G414" s="799"/>
      <c r="H414" s="799"/>
      <c r="I414" s="799"/>
      <c r="J414" s="799"/>
      <c r="K414" s="799"/>
      <c r="L414" s="799"/>
    </row>
    <row r="415" spans="1:12" ht="11.25" customHeight="1">
      <c r="A415" s="800" t="s">
        <v>468</v>
      </c>
      <c r="B415" s="800"/>
      <c r="C415" s="800"/>
      <c r="D415" s="70"/>
      <c r="E415" s="70"/>
      <c r="F415" s="70"/>
      <c r="G415" s="70"/>
      <c r="H415" s="70"/>
      <c r="I415" s="70"/>
      <c r="J415" s="70"/>
      <c r="K415" s="70"/>
      <c r="L415" s="70"/>
    </row>
    <row r="419" spans="1:11" s="77" customFormat="1" ht="11.25" customHeight="1">
      <c r="A419" s="73" t="s">
        <v>1056</v>
      </c>
      <c r="B419" s="74"/>
      <c r="C419" s="74"/>
      <c r="D419" s="73" t="s">
        <v>1058</v>
      </c>
      <c r="E419" s="74"/>
      <c r="F419" s="75"/>
      <c r="G419" s="76"/>
      <c r="I419" s="74" t="s">
        <v>1060</v>
      </c>
      <c r="J419" s="74"/>
      <c r="K419" s="74"/>
    </row>
    <row r="420" spans="1:11" s="77" customFormat="1" ht="11.25" customHeight="1">
      <c r="A420" s="73" t="s">
        <v>1057</v>
      </c>
      <c r="B420" s="75"/>
      <c r="C420" s="75"/>
      <c r="D420" s="74" t="s">
        <v>1059</v>
      </c>
      <c r="E420" s="74"/>
      <c r="F420" s="75"/>
      <c r="G420" s="76"/>
      <c r="I420" s="74" t="s">
        <v>1061</v>
      </c>
      <c r="J420" s="74"/>
      <c r="K420" s="74"/>
    </row>
    <row r="421" spans="4:11" s="77" customFormat="1" ht="11.25" customHeight="1">
      <c r="D421" s="77" t="s">
        <v>1072</v>
      </c>
      <c r="G421" s="78"/>
      <c r="I421" s="74" t="s">
        <v>1073</v>
      </c>
      <c r="J421" s="74"/>
      <c r="K421" s="74"/>
    </row>
    <row r="422" spans="4:8" ht="11.25" customHeight="1">
      <c r="D422" s="801"/>
      <c r="E422" s="802"/>
      <c r="F422" s="802"/>
      <c r="G422" s="802"/>
      <c r="H422" s="802"/>
    </row>
  </sheetData>
  <sheetProtection/>
  <mergeCells count="14">
    <mergeCell ref="A11:L11"/>
    <mergeCell ref="A214:L214"/>
    <mergeCell ref="A13:L13"/>
    <mergeCell ref="H218:J218"/>
    <mergeCell ref="H16:J16"/>
    <mergeCell ref="D16:F16"/>
    <mergeCell ref="D218:F218"/>
    <mergeCell ref="A414:L414"/>
    <mergeCell ref="A415:C415"/>
    <mergeCell ref="D422:H422"/>
    <mergeCell ref="A216:J216"/>
    <mergeCell ref="A215:C215"/>
    <mergeCell ref="L16:L18"/>
    <mergeCell ref="L218:L220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6"/>
  <sheetViews>
    <sheetView showGridLines="0" zoomScaleSheetLayoutView="130" zoomScalePageLayoutView="0" workbookViewId="0" topLeftCell="A1">
      <selection activeCell="A1" sqref="A1"/>
    </sheetView>
  </sheetViews>
  <sheetFormatPr defaultColWidth="4.140625" defaultRowHeight="11.25" customHeight="1"/>
  <cols>
    <col min="1" max="1" width="52.7109375" style="87" customWidth="1"/>
    <col min="2" max="4" width="12.8515625" style="87" bestFit="1" customWidth="1"/>
    <col min="5" max="5" width="12.00390625" style="87" bestFit="1" customWidth="1"/>
    <col min="6" max="7" width="12.8515625" style="87" bestFit="1" customWidth="1"/>
    <col min="8" max="8" width="12.00390625" style="86" bestFit="1" customWidth="1"/>
    <col min="9" max="13" width="12.8515625" style="87" bestFit="1" customWidth="1"/>
    <col min="14" max="15" width="14.28125" style="87" bestFit="1" customWidth="1"/>
    <col min="16" max="16384" width="4.140625" style="87" customWidth="1"/>
  </cols>
  <sheetData>
    <row r="1" ht="12.75"/>
    <row r="2" ht="25.5" customHeight="1">
      <c r="A2" s="180" t="s">
        <v>1051</v>
      </c>
    </row>
    <row r="3" ht="15.75" customHeight="1">
      <c r="A3" s="181" t="s">
        <v>1052</v>
      </c>
    </row>
    <row r="4" ht="15.75" customHeight="1">
      <c r="A4" s="181" t="s">
        <v>1053</v>
      </c>
    </row>
    <row r="5" ht="15.75" customHeight="1">
      <c r="A5" s="181" t="s">
        <v>1054</v>
      </c>
    </row>
    <row r="6" ht="15.75">
      <c r="A6" s="42" t="s">
        <v>82</v>
      </c>
    </row>
    <row r="7" ht="12.75">
      <c r="A7" s="43"/>
    </row>
    <row r="8" spans="1:15" ht="12.75">
      <c r="A8" s="44" t="s">
        <v>1051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>
      <c r="A9" s="45" t="s">
        <v>68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2.75">
      <c r="A10" s="46" t="s">
        <v>116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2.75">
      <c r="A11" s="807" t="s">
        <v>70</v>
      </c>
      <c r="B11" s="807"/>
      <c r="C11" s="807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</row>
    <row r="12" spans="1:15" ht="12.75">
      <c r="A12" s="47" t="s">
        <v>1055</v>
      </c>
      <c r="B12" s="4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 hidden="1">
      <c r="A13" s="807"/>
      <c r="B13" s="807"/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</row>
    <row r="14" spans="1:15" ht="12.75" hidden="1">
      <c r="A14" s="808"/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</row>
    <row r="15" spans="1:15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1.25" customHeight="1" hidden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1.25" customHeight="1">
      <c r="A17" s="87" t="s">
        <v>333</v>
      </c>
      <c r="H17" s="726"/>
      <c r="O17" s="53" t="s">
        <v>360</v>
      </c>
    </row>
    <row r="18" spans="1:15" ht="11.25" customHeight="1">
      <c r="A18" s="30"/>
      <c r="B18" s="816" t="s">
        <v>117</v>
      </c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8"/>
      <c r="N18" s="31" t="s">
        <v>115</v>
      </c>
      <c r="O18" s="32" t="s">
        <v>71</v>
      </c>
    </row>
    <row r="19" spans="1:15" ht="11.25" customHeight="1">
      <c r="A19" s="33" t="s">
        <v>118</v>
      </c>
      <c r="B19" s="819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1"/>
      <c r="N19" s="34" t="s">
        <v>119</v>
      </c>
      <c r="O19" s="33" t="s">
        <v>75</v>
      </c>
    </row>
    <row r="20" spans="1:15" ht="11.25" customHeight="1">
      <c r="A20" s="35"/>
      <c r="B20" s="36" t="s">
        <v>173</v>
      </c>
      <c r="C20" s="36" t="s">
        <v>174</v>
      </c>
      <c r="D20" s="36" t="s">
        <v>175</v>
      </c>
      <c r="E20" s="36" t="s">
        <v>176</v>
      </c>
      <c r="F20" s="36" t="s">
        <v>177</v>
      </c>
      <c r="G20" s="36" t="s">
        <v>178</v>
      </c>
      <c r="H20" s="36" t="s">
        <v>179</v>
      </c>
      <c r="I20" s="36" t="s">
        <v>180</v>
      </c>
      <c r="J20" s="36" t="s">
        <v>181</v>
      </c>
      <c r="K20" s="36" t="s">
        <v>182</v>
      </c>
      <c r="L20" s="36" t="s">
        <v>183</v>
      </c>
      <c r="M20" s="36" t="s">
        <v>184</v>
      </c>
      <c r="N20" s="37" t="s">
        <v>120</v>
      </c>
      <c r="O20" s="38" t="s">
        <v>121</v>
      </c>
    </row>
    <row r="21" spans="1:15" s="184" customFormat="1" ht="12.75">
      <c r="A21" s="774" t="s">
        <v>122</v>
      </c>
      <c r="B21" s="146">
        <f aca="true" t="shared" si="0" ref="B21:M21">B22+B28+B29+B32+B33+B34+B35+B44</f>
        <v>88846338.83000001</v>
      </c>
      <c r="C21" s="146">
        <f t="shared" si="0"/>
        <v>82827105.52999999</v>
      </c>
      <c r="D21" s="146">
        <f t="shared" si="0"/>
        <v>102438271.66000001</v>
      </c>
      <c r="E21" s="146">
        <f t="shared" si="0"/>
        <v>89555021.96</v>
      </c>
      <c r="F21" s="146">
        <f t="shared" si="0"/>
        <v>82291109.71</v>
      </c>
      <c r="G21" s="146">
        <f t="shared" si="0"/>
        <v>101369874.80999999</v>
      </c>
      <c r="H21" s="148">
        <f t="shared" si="0"/>
        <v>92898536.03</v>
      </c>
      <c r="I21" s="146">
        <f t="shared" si="0"/>
        <v>126328514.74000001</v>
      </c>
      <c r="J21" s="146">
        <f t="shared" si="0"/>
        <v>117430540.33</v>
      </c>
      <c r="K21" s="146">
        <f t="shared" si="0"/>
        <v>101329909.5</v>
      </c>
      <c r="L21" s="146">
        <f t="shared" si="0"/>
        <v>138657502.97000003</v>
      </c>
      <c r="M21" s="145">
        <f t="shared" si="0"/>
        <v>80437757.12</v>
      </c>
      <c r="N21" s="146">
        <f aca="true" t="shared" si="1" ref="N21:N52">SUM(B21:M21)</f>
        <v>1204410483.19</v>
      </c>
      <c r="O21" s="148">
        <f>O22+O28+O29+O32+O33+O34+O35+O44</f>
        <v>1225356799.8899999</v>
      </c>
    </row>
    <row r="22" spans="1:15" ht="12.75">
      <c r="A22" s="775" t="s">
        <v>726</v>
      </c>
      <c r="B22" s="145">
        <f aca="true" t="shared" si="2" ref="B22:M22">SUM(B23:B27)</f>
        <v>26612004.06</v>
      </c>
      <c r="C22" s="145">
        <f t="shared" si="2"/>
        <v>23425856.869999997</v>
      </c>
      <c r="D22" s="145">
        <f t="shared" si="2"/>
        <v>25017169.490000002</v>
      </c>
      <c r="E22" s="145">
        <f t="shared" si="2"/>
        <v>29395823.49</v>
      </c>
      <c r="F22" s="145">
        <f t="shared" si="2"/>
        <v>26765561.650000002</v>
      </c>
      <c r="G22" s="145">
        <f t="shared" si="2"/>
        <v>27053162.24</v>
      </c>
      <c r="H22" s="147">
        <f t="shared" si="2"/>
        <v>28436345.8</v>
      </c>
      <c r="I22" s="145">
        <f t="shared" si="2"/>
        <v>32113013.04</v>
      </c>
      <c r="J22" s="145">
        <f t="shared" si="2"/>
        <v>22774703.39</v>
      </c>
      <c r="K22" s="145">
        <f t="shared" si="2"/>
        <v>22405581.07</v>
      </c>
      <c r="L22" s="145">
        <f t="shared" si="2"/>
        <v>58424594.67999999</v>
      </c>
      <c r="M22" s="145">
        <f t="shared" si="2"/>
        <v>23155281.540000003</v>
      </c>
      <c r="N22" s="145">
        <f t="shared" si="1"/>
        <v>345579097.32</v>
      </c>
      <c r="O22" s="147">
        <f>SUM(O23:O27)</f>
        <v>320513000</v>
      </c>
    </row>
    <row r="23" spans="1:15" ht="12.75">
      <c r="A23" s="775" t="s">
        <v>566</v>
      </c>
      <c r="B23" s="145">
        <v>8797358.99</v>
      </c>
      <c r="C23" s="145">
        <v>8217627.9</v>
      </c>
      <c r="D23" s="145">
        <v>8912159.01</v>
      </c>
      <c r="E23" s="145">
        <v>8867236.95</v>
      </c>
      <c r="F23" s="145">
        <v>9137236.88</v>
      </c>
      <c r="G23" s="145">
        <v>8899479.74</v>
      </c>
      <c r="H23" s="147">
        <v>8407913.6</v>
      </c>
      <c r="I23" s="145">
        <v>9437839.07</v>
      </c>
      <c r="J23" s="145">
        <v>2928992.23</v>
      </c>
      <c r="K23" s="145">
        <v>6840242.09</v>
      </c>
      <c r="L23" s="145">
        <v>35120149.87</v>
      </c>
      <c r="M23" s="145">
        <v>9199315.34</v>
      </c>
      <c r="N23" s="145">
        <f t="shared" si="1"/>
        <v>124765551.67000002</v>
      </c>
      <c r="O23" s="147">
        <v>125856000</v>
      </c>
    </row>
    <row r="24" spans="1:15" ht="12.75">
      <c r="A24" s="775" t="s">
        <v>567</v>
      </c>
      <c r="B24" s="145">
        <v>7778439.45</v>
      </c>
      <c r="C24" s="145">
        <v>7763935.39</v>
      </c>
      <c r="D24" s="145">
        <v>7570292.75</v>
      </c>
      <c r="E24" s="145">
        <v>8892488.98</v>
      </c>
      <c r="F24" s="145">
        <v>8779662.44</v>
      </c>
      <c r="G24" s="145">
        <v>9744483.59</v>
      </c>
      <c r="H24" s="147">
        <v>10846945.46</v>
      </c>
      <c r="I24" s="145">
        <v>8810022.17</v>
      </c>
      <c r="J24" s="145">
        <v>9270070.89</v>
      </c>
      <c r="K24" s="145">
        <v>7881011.97</v>
      </c>
      <c r="L24" s="145">
        <v>8444906.25</v>
      </c>
      <c r="M24" s="145">
        <v>6949839.99</v>
      </c>
      <c r="N24" s="145">
        <f t="shared" si="1"/>
        <v>102732099.32999998</v>
      </c>
      <c r="O24" s="147">
        <v>95900000</v>
      </c>
    </row>
    <row r="25" spans="1:15" ht="12.75">
      <c r="A25" s="775" t="s">
        <v>568</v>
      </c>
      <c r="B25" s="145">
        <v>4011392.16</v>
      </c>
      <c r="C25" s="145">
        <v>1973568.72</v>
      </c>
      <c r="D25" s="145">
        <v>2432226.52</v>
      </c>
      <c r="E25" s="145">
        <v>5717048.93</v>
      </c>
      <c r="F25" s="145">
        <v>2886802.68</v>
      </c>
      <c r="G25" s="145">
        <v>2870888.08</v>
      </c>
      <c r="H25" s="147">
        <v>2069138.28</v>
      </c>
      <c r="I25" s="145">
        <v>3608653.3</v>
      </c>
      <c r="J25" s="145">
        <v>9145321.14</v>
      </c>
      <c r="K25" s="145">
        <v>2325629.04</v>
      </c>
      <c r="L25" s="145">
        <v>2375595.76</v>
      </c>
      <c r="M25" s="145">
        <v>1665356.18</v>
      </c>
      <c r="N25" s="145">
        <f t="shared" si="1"/>
        <v>41081620.79</v>
      </c>
      <c r="O25" s="147">
        <v>26394000</v>
      </c>
    </row>
    <row r="26" spans="1:15" ht="12.75">
      <c r="A26" s="775" t="s">
        <v>461</v>
      </c>
      <c r="B26" s="145">
        <v>3096051.83</v>
      </c>
      <c r="C26" s="145">
        <v>3015166.22</v>
      </c>
      <c r="D26" s="145">
        <v>3374891.98</v>
      </c>
      <c r="E26" s="145">
        <v>3442701.29</v>
      </c>
      <c r="F26" s="145">
        <v>3524968.37</v>
      </c>
      <c r="G26" s="145">
        <v>3033862.94</v>
      </c>
      <c r="H26" s="147">
        <v>4865887.9</v>
      </c>
      <c r="I26" s="145">
        <v>7560531.17</v>
      </c>
      <c r="J26" s="145">
        <v>358233.05</v>
      </c>
      <c r="K26" s="145">
        <v>3592369.35</v>
      </c>
      <c r="L26" s="145">
        <v>3139426.53</v>
      </c>
      <c r="M26" s="145">
        <v>3150747.07</v>
      </c>
      <c r="N26" s="145">
        <f t="shared" si="1"/>
        <v>42154837.7</v>
      </c>
      <c r="O26" s="147">
        <v>37800000</v>
      </c>
    </row>
    <row r="27" spans="1:15" ht="12.75">
      <c r="A27" s="775" t="s">
        <v>727</v>
      </c>
      <c r="B27" s="145">
        <v>2928761.63</v>
      </c>
      <c r="C27" s="145">
        <v>2455558.64</v>
      </c>
      <c r="D27" s="145">
        <v>2727599.23</v>
      </c>
      <c r="E27" s="145">
        <v>2476347.34</v>
      </c>
      <c r="F27" s="145">
        <v>2436891.28</v>
      </c>
      <c r="G27" s="145">
        <v>2504447.89</v>
      </c>
      <c r="H27" s="147">
        <v>2246460.56</v>
      </c>
      <c r="I27" s="145">
        <v>2695967.33</v>
      </c>
      <c r="J27" s="145">
        <v>1072086.08</v>
      </c>
      <c r="K27" s="145">
        <v>1766328.62</v>
      </c>
      <c r="L27" s="145">
        <v>9344516.27</v>
      </c>
      <c r="M27" s="145">
        <v>2190022.96</v>
      </c>
      <c r="N27" s="145">
        <f t="shared" si="1"/>
        <v>34844987.83</v>
      </c>
      <c r="O27" s="147">
        <v>34563000</v>
      </c>
    </row>
    <row r="28" spans="1:15" ht="12.75">
      <c r="A28" s="775" t="s">
        <v>123</v>
      </c>
      <c r="B28" s="145">
        <v>4980521.08</v>
      </c>
      <c r="C28" s="145">
        <v>5063200.28</v>
      </c>
      <c r="D28" s="145">
        <v>4998825.98</v>
      </c>
      <c r="E28" s="145">
        <v>5133553.43</v>
      </c>
      <c r="F28" s="145">
        <v>5118633.42</v>
      </c>
      <c r="G28" s="145">
        <v>5066202.97</v>
      </c>
      <c r="H28" s="147">
        <v>5172922.34</v>
      </c>
      <c r="I28" s="145">
        <v>5741537.69</v>
      </c>
      <c r="J28" s="145">
        <v>7421287.91</v>
      </c>
      <c r="K28" s="145">
        <v>5163176.68</v>
      </c>
      <c r="L28" s="145">
        <v>6029373.36</v>
      </c>
      <c r="M28" s="145">
        <v>5527415.93</v>
      </c>
      <c r="N28" s="145">
        <f t="shared" si="1"/>
        <v>65416651.06999999</v>
      </c>
      <c r="O28" s="147">
        <v>66960180</v>
      </c>
    </row>
    <row r="29" spans="1:15" ht="12.75">
      <c r="A29" s="775" t="s">
        <v>124</v>
      </c>
      <c r="B29" s="145">
        <f aca="true" t="shared" si="3" ref="B29:M29">SUM(B30:B31)</f>
        <v>2701869.23</v>
      </c>
      <c r="C29" s="145">
        <f t="shared" si="3"/>
        <v>2254176.09</v>
      </c>
      <c r="D29" s="145">
        <f t="shared" si="3"/>
        <v>2724821.79</v>
      </c>
      <c r="E29" s="145">
        <f t="shared" si="3"/>
        <v>2307317.2300000004</v>
      </c>
      <c r="F29" s="145">
        <f t="shared" si="3"/>
        <v>2042337.6099999999</v>
      </c>
      <c r="G29" s="145">
        <f t="shared" si="3"/>
        <v>2153390.66</v>
      </c>
      <c r="H29" s="147">
        <f t="shared" si="3"/>
        <v>1456461.3099999998</v>
      </c>
      <c r="I29" s="145">
        <f t="shared" si="3"/>
        <v>1216668.75</v>
      </c>
      <c r="J29" s="145">
        <f t="shared" si="3"/>
        <v>1184858.68</v>
      </c>
      <c r="K29" s="145">
        <f t="shared" si="3"/>
        <v>1021668.6699999999</v>
      </c>
      <c r="L29" s="145">
        <f t="shared" si="3"/>
        <v>731439.61</v>
      </c>
      <c r="M29" s="145">
        <f t="shared" si="3"/>
        <v>339382.51</v>
      </c>
      <c r="N29" s="145">
        <f t="shared" si="1"/>
        <v>20134392.140000004</v>
      </c>
      <c r="O29" s="147">
        <f>SUM(O30:O31)</f>
        <v>73028273.14</v>
      </c>
    </row>
    <row r="30" spans="1:15" ht="12.75">
      <c r="A30" s="775" t="s">
        <v>724</v>
      </c>
      <c r="B30" s="776">
        <v>2606746.28</v>
      </c>
      <c r="C30" s="776">
        <v>2163702.26</v>
      </c>
      <c r="D30" s="777">
        <v>2625001.2</v>
      </c>
      <c r="E30" s="776">
        <v>2199591.49</v>
      </c>
      <c r="F30" s="776">
        <v>1945315.18</v>
      </c>
      <c r="G30" s="776">
        <v>2044631.35</v>
      </c>
      <c r="H30" s="776">
        <v>1295773.39</v>
      </c>
      <c r="I30" s="776">
        <v>1101173.58</v>
      </c>
      <c r="J30" s="776">
        <v>1126067.76</v>
      </c>
      <c r="K30" s="776">
        <v>947249.86</v>
      </c>
      <c r="L30" s="145">
        <v>645552.28</v>
      </c>
      <c r="M30" s="145">
        <v>276859.21</v>
      </c>
      <c r="N30" s="145">
        <f t="shared" si="1"/>
        <v>18977663.840000004</v>
      </c>
      <c r="O30" s="147">
        <v>71799173.14</v>
      </c>
    </row>
    <row r="31" spans="1:15" ht="12.75">
      <c r="A31" s="775" t="s">
        <v>725</v>
      </c>
      <c r="B31" s="145">
        <v>95122.95</v>
      </c>
      <c r="C31" s="145">
        <v>90473.83</v>
      </c>
      <c r="D31" s="145">
        <v>99820.59</v>
      </c>
      <c r="E31" s="145">
        <v>107725.74</v>
      </c>
      <c r="F31" s="145">
        <v>97022.43</v>
      </c>
      <c r="G31" s="145">
        <v>108759.31</v>
      </c>
      <c r="H31" s="147">
        <v>160687.92</v>
      </c>
      <c r="I31" s="145">
        <v>115495.17</v>
      </c>
      <c r="J31" s="145">
        <v>58790.92</v>
      </c>
      <c r="K31" s="145">
        <v>74418.81</v>
      </c>
      <c r="L31" s="145">
        <v>85887.33</v>
      </c>
      <c r="M31" s="145">
        <v>62523.3</v>
      </c>
      <c r="N31" s="145">
        <f t="shared" si="1"/>
        <v>1156728.3000000003</v>
      </c>
      <c r="O31" s="147">
        <v>1229100</v>
      </c>
    </row>
    <row r="32" spans="1:15" ht="12.75">
      <c r="A32" s="775" t="s">
        <v>125</v>
      </c>
      <c r="B32" s="145"/>
      <c r="C32" s="145"/>
      <c r="D32" s="145"/>
      <c r="E32" s="145"/>
      <c r="F32" s="145"/>
      <c r="G32" s="145"/>
      <c r="H32" s="147"/>
      <c r="I32" s="145"/>
      <c r="J32" s="145"/>
      <c r="K32" s="145"/>
      <c r="L32" s="145"/>
      <c r="M32" s="145"/>
      <c r="N32" s="145">
        <f t="shared" si="1"/>
        <v>0</v>
      </c>
      <c r="O32" s="147"/>
    </row>
    <row r="33" spans="1:15" ht="12.75">
      <c r="A33" s="775" t="s">
        <v>126</v>
      </c>
      <c r="B33" s="145"/>
      <c r="C33" s="145"/>
      <c r="D33" s="145"/>
      <c r="E33" s="145"/>
      <c r="F33" s="145"/>
      <c r="G33" s="145"/>
      <c r="H33" s="147"/>
      <c r="I33" s="145"/>
      <c r="J33" s="145"/>
      <c r="K33" s="145"/>
      <c r="L33" s="145"/>
      <c r="M33" s="145"/>
      <c r="N33" s="145">
        <f t="shared" si="1"/>
        <v>0</v>
      </c>
      <c r="O33" s="147"/>
    </row>
    <row r="34" spans="1:15" ht="12.75">
      <c r="A34" s="775" t="s">
        <v>130</v>
      </c>
      <c r="B34" s="145">
        <v>9997388.57</v>
      </c>
      <c r="C34" s="145">
        <v>9816527.85</v>
      </c>
      <c r="D34" s="145">
        <v>11184361.42</v>
      </c>
      <c r="E34" s="145">
        <v>10038264.16</v>
      </c>
      <c r="F34" s="145">
        <v>9673973.6</v>
      </c>
      <c r="G34" s="145">
        <v>10546091.36</v>
      </c>
      <c r="H34" s="147">
        <v>10652232.53</v>
      </c>
      <c r="I34" s="145">
        <v>12327012.86</v>
      </c>
      <c r="J34" s="145">
        <v>10288356.63</v>
      </c>
      <c r="K34" s="145">
        <v>10030811.34</v>
      </c>
      <c r="L34" s="145">
        <v>10667813.48</v>
      </c>
      <c r="M34" s="145">
        <v>9168003.33</v>
      </c>
      <c r="N34" s="145">
        <f t="shared" si="1"/>
        <v>124390837.13</v>
      </c>
      <c r="O34" s="147">
        <v>124865000</v>
      </c>
    </row>
    <row r="35" spans="1:15" ht="12.75">
      <c r="A35" s="775" t="s">
        <v>127</v>
      </c>
      <c r="B35" s="145">
        <f aca="true" t="shared" si="4" ref="B35:M35">SUM(B36:B43)</f>
        <v>43041472.27</v>
      </c>
      <c r="C35" s="145">
        <f t="shared" si="4"/>
        <v>40083507.45</v>
      </c>
      <c r="D35" s="145">
        <f t="shared" si="4"/>
        <v>57256474.150000006</v>
      </c>
      <c r="E35" s="145">
        <f t="shared" si="4"/>
        <v>41254331.1</v>
      </c>
      <c r="F35" s="145">
        <f t="shared" si="4"/>
        <v>36754657.519999996</v>
      </c>
      <c r="G35" s="145">
        <f t="shared" si="4"/>
        <v>54929952.75</v>
      </c>
      <c r="H35" s="147">
        <f t="shared" si="4"/>
        <v>45617304.94</v>
      </c>
      <c r="I35" s="145">
        <f t="shared" si="4"/>
        <v>73169851.72</v>
      </c>
      <c r="J35" s="145">
        <f t="shared" si="4"/>
        <v>74103048.17999999</v>
      </c>
      <c r="K35" s="145">
        <f t="shared" si="4"/>
        <v>61806677.839999996</v>
      </c>
      <c r="L35" s="145">
        <f t="shared" si="4"/>
        <v>61595510.980000004</v>
      </c>
      <c r="M35" s="145">
        <f t="shared" si="4"/>
        <v>41412377.79000001</v>
      </c>
      <c r="N35" s="145">
        <f t="shared" si="1"/>
        <v>631025166.6899999</v>
      </c>
      <c r="O35" s="147">
        <f>SUM(O36:O43)</f>
        <v>625252096.75</v>
      </c>
    </row>
    <row r="36" spans="1:15" ht="12.75">
      <c r="A36" s="775" t="s">
        <v>569</v>
      </c>
      <c r="B36" s="145">
        <v>6817086.37</v>
      </c>
      <c r="C36" s="145">
        <v>5369803.97</v>
      </c>
      <c r="D36" s="145">
        <v>7343186.82</v>
      </c>
      <c r="E36" s="145">
        <v>5360025.71</v>
      </c>
      <c r="F36" s="145">
        <v>4771213.35</v>
      </c>
      <c r="G36" s="145">
        <v>4392521.52</v>
      </c>
      <c r="H36" s="147">
        <v>5961280.25</v>
      </c>
      <c r="I36" s="145">
        <v>10162998.69</v>
      </c>
      <c r="J36" s="145">
        <v>6007150.5</v>
      </c>
      <c r="K36" s="145">
        <v>8680064.36</v>
      </c>
      <c r="L36" s="145">
        <v>5075473.85</v>
      </c>
      <c r="M36" s="145">
        <v>4975087.95</v>
      </c>
      <c r="N36" s="145">
        <f t="shared" si="1"/>
        <v>74915893.33999999</v>
      </c>
      <c r="O36" s="147">
        <v>77050000</v>
      </c>
    </row>
    <row r="37" spans="1:15" ht="12.75">
      <c r="A37" s="775" t="s">
        <v>572</v>
      </c>
      <c r="B37" s="145">
        <v>17443217.51</v>
      </c>
      <c r="C37" s="145">
        <v>16933164.93</v>
      </c>
      <c r="D37" s="145">
        <v>25020714.18</v>
      </c>
      <c r="E37" s="145">
        <v>17918274.43</v>
      </c>
      <c r="F37" s="145">
        <v>14527561.45</v>
      </c>
      <c r="G37" s="145">
        <v>27691079.66</v>
      </c>
      <c r="H37" s="147">
        <v>20792991.82</v>
      </c>
      <c r="I37" s="145">
        <v>29977693.9</v>
      </c>
      <c r="J37" s="145">
        <v>20765700.34</v>
      </c>
      <c r="K37" s="145">
        <v>21298023.24</v>
      </c>
      <c r="L37" s="145">
        <v>24549143.58</v>
      </c>
      <c r="M37" s="145">
        <v>16583196.24</v>
      </c>
      <c r="N37" s="145">
        <f t="shared" si="1"/>
        <v>253500761.28000003</v>
      </c>
      <c r="O37" s="147">
        <v>262000000</v>
      </c>
    </row>
    <row r="38" spans="1:15" ht="12.75">
      <c r="A38" s="775" t="s">
        <v>571</v>
      </c>
      <c r="B38" s="145">
        <v>2478695.04</v>
      </c>
      <c r="C38" s="145">
        <v>1941476.19</v>
      </c>
      <c r="D38" s="145">
        <v>2485266.73</v>
      </c>
      <c r="E38" s="145">
        <v>2139827.67</v>
      </c>
      <c r="F38" s="145">
        <v>2303655.45</v>
      </c>
      <c r="G38" s="145">
        <v>2136198.35</v>
      </c>
      <c r="H38" s="147">
        <v>1618985.84</v>
      </c>
      <c r="I38" s="145">
        <v>2697992.04</v>
      </c>
      <c r="J38" s="145">
        <v>27293342.06</v>
      </c>
      <c r="K38" s="145">
        <v>12198392.92</v>
      </c>
      <c r="L38" s="145">
        <v>8696912.15</v>
      </c>
      <c r="M38" s="145">
        <v>1271684.46</v>
      </c>
      <c r="N38" s="145">
        <f t="shared" si="1"/>
        <v>67262428.9</v>
      </c>
      <c r="O38" s="147">
        <v>65000000</v>
      </c>
    </row>
    <row r="39" spans="1:15" ht="12.75">
      <c r="A39" s="775" t="s">
        <v>570</v>
      </c>
      <c r="B39" s="145">
        <v>6087.48</v>
      </c>
      <c r="C39" s="145">
        <v>1291.36</v>
      </c>
      <c r="D39" s="145">
        <v>15053.53</v>
      </c>
      <c r="E39" s="145">
        <v>1813.2</v>
      </c>
      <c r="F39" s="145">
        <v>30352.19</v>
      </c>
      <c r="G39" s="145">
        <v>653111.67</v>
      </c>
      <c r="H39" s="147">
        <v>18146.88</v>
      </c>
      <c r="I39" s="145">
        <v>18483.81</v>
      </c>
      <c r="J39" s="145">
        <v>8737.19</v>
      </c>
      <c r="K39" s="145">
        <v>6569.8</v>
      </c>
      <c r="L39" s="145">
        <v>2292.24</v>
      </c>
      <c r="M39" s="145">
        <v>4525.64</v>
      </c>
      <c r="N39" s="145">
        <f t="shared" si="1"/>
        <v>766464.9900000001</v>
      </c>
      <c r="O39" s="147">
        <v>1200000</v>
      </c>
    </row>
    <row r="40" spans="1:15" ht="12.75">
      <c r="A40" s="775" t="s">
        <v>462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7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f t="shared" si="1"/>
        <v>0</v>
      </c>
      <c r="O40" s="147">
        <v>1000</v>
      </c>
    </row>
    <row r="41" spans="1:15" ht="12.75">
      <c r="A41" s="775" t="s">
        <v>463</v>
      </c>
      <c r="B41" s="145">
        <v>134672.68</v>
      </c>
      <c r="C41" s="145">
        <v>146930.42</v>
      </c>
      <c r="D41" s="145">
        <v>156765.7</v>
      </c>
      <c r="E41" s="145">
        <v>112373.07</v>
      </c>
      <c r="F41" s="145">
        <v>160794.49</v>
      </c>
      <c r="G41" s="145">
        <v>163899.25</v>
      </c>
      <c r="H41" s="147">
        <v>141906.79</v>
      </c>
      <c r="I41" s="145">
        <v>174406.01</v>
      </c>
      <c r="J41" s="145">
        <v>162007.98</v>
      </c>
      <c r="K41" s="145">
        <v>136202.84</v>
      </c>
      <c r="L41" s="145">
        <v>147711.31</v>
      </c>
      <c r="M41" s="145">
        <v>134722.62</v>
      </c>
      <c r="N41" s="145">
        <f t="shared" si="1"/>
        <v>1772393.1600000001</v>
      </c>
      <c r="O41" s="147">
        <v>1800000</v>
      </c>
    </row>
    <row r="42" spans="1:15" ht="12.75">
      <c r="A42" s="775" t="s">
        <v>464</v>
      </c>
      <c r="B42" s="145">
        <v>8156515.48</v>
      </c>
      <c r="C42" s="145">
        <v>7741932.76</v>
      </c>
      <c r="D42" s="145">
        <v>10808577.63</v>
      </c>
      <c r="E42" s="145">
        <v>8082300.55</v>
      </c>
      <c r="F42" s="145">
        <v>6769072.65</v>
      </c>
      <c r="G42" s="145">
        <v>11934431.75</v>
      </c>
      <c r="H42" s="147">
        <v>9153262</v>
      </c>
      <c r="I42" s="145">
        <v>13263263.53</v>
      </c>
      <c r="J42" s="145">
        <v>13470530.34</v>
      </c>
      <c r="K42" s="145">
        <v>11403013.47</v>
      </c>
      <c r="L42" s="145">
        <v>11853415.08</v>
      </c>
      <c r="M42" s="145">
        <v>7305817.47</v>
      </c>
      <c r="N42" s="145">
        <f t="shared" si="1"/>
        <v>119942132.71</v>
      </c>
      <c r="O42" s="147">
        <v>117800000</v>
      </c>
    </row>
    <row r="43" spans="1:15" ht="12.75">
      <c r="A43" s="775" t="s">
        <v>465</v>
      </c>
      <c r="B43" s="145">
        <v>8005197.71</v>
      </c>
      <c r="C43" s="145">
        <v>7948907.82</v>
      </c>
      <c r="D43" s="145">
        <v>11426909.56</v>
      </c>
      <c r="E43" s="145">
        <v>7639716.47</v>
      </c>
      <c r="F43" s="145">
        <v>8192007.94</v>
      </c>
      <c r="G43" s="145">
        <v>7958710.55</v>
      </c>
      <c r="H43" s="147">
        <v>7930731.36</v>
      </c>
      <c r="I43" s="145">
        <v>16875013.74</v>
      </c>
      <c r="J43" s="145">
        <v>6395579.77</v>
      </c>
      <c r="K43" s="145">
        <v>8084411.21</v>
      </c>
      <c r="L43" s="145">
        <v>11270562.77</v>
      </c>
      <c r="M43" s="145">
        <v>11137343.41</v>
      </c>
      <c r="N43" s="145">
        <f t="shared" si="1"/>
        <v>112865092.30999997</v>
      </c>
      <c r="O43" s="147">
        <v>100401096.75</v>
      </c>
    </row>
    <row r="44" spans="1:15" ht="12.75">
      <c r="A44" s="775" t="s">
        <v>128</v>
      </c>
      <c r="B44" s="145">
        <v>1513083.62</v>
      </c>
      <c r="C44" s="145">
        <v>2183836.99</v>
      </c>
      <c r="D44" s="145">
        <v>1256618.83</v>
      </c>
      <c r="E44" s="145">
        <v>1425732.55</v>
      </c>
      <c r="F44" s="145">
        <v>1935945.91</v>
      </c>
      <c r="G44" s="145">
        <v>1621074.83</v>
      </c>
      <c r="H44" s="147">
        <v>1563269.11</v>
      </c>
      <c r="I44" s="145">
        <v>1760430.68</v>
      </c>
      <c r="J44" s="145">
        <v>1658285.54</v>
      </c>
      <c r="K44" s="145">
        <v>901993.9</v>
      </c>
      <c r="L44" s="145">
        <v>1208770.86</v>
      </c>
      <c r="M44" s="145">
        <v>835296.02</v>
      </c>
      <c r="N44" s="145">
        <f t="shared" si="1"/>
        <v>17864338.84</v>
      </c>
      <c r="O44" s="147">
        <v>14738250</v>
      </c>
    </row>
    <row r="45" spans="1:15" ht="12.75">
      <c r="A45" s="778" t="s">
        <v>129</v>
      </c>
      <c r="B45" s="145">
        <f aca="true" t="shared" si="5" ref="B45:M45">SUM(B46:B48)</f>
        <v>8370191.1899999995</v>
      </c>
      <c r="C45" s="145">
        <f t="shared" si="5"/>
        <v>8351688.13</v>
      </c>
      <c r="D45" s="145">
        <f t="shared" si="5"/>
        <v>9423654.88</v>
      </c>
      <c r="E45" s="145">
        <f t="shared" si="5"/>
        <v>8151325.02</v>
      </c>
      <c r="F45" s="145">
        <f t="shared" si="5"/>
        <v>7461117.73</v>
      </c>
      <c r="G45" s="145">
        <f t="shared" si="5"/>
        <v>10160439.5</v>
      </c>
      <c r="H45" s="147">
        <f t="shared" si="5"/>
        <v>8803401.98</v>
      </c>
      <c r="I45" s="145">
        <f t="shared" si="5"/>
        <v>11858318.14</v>
      </c>
      <c r="J45" s="145">
        <f t="shared" si="5"/>
        <v>16237871.629999999</v>
      </c>
      <c r="K45" s="145">
        <f t="shared" si="5"/>
        <v>11569856.58</v>
      </c>
      <c r="L45" s="145">
        <f t="shared" si="5"/>
        <v>10787342.11</v>
      </c>
      <c r="M45" s="145">
        <f t="shared" si="5"/>
        <v>7814753.99</v>
      </c>
      <c r="N45" s="145">
        <f t="shared" si="1"/>
        <v>118989960.88</v>
      </c>
      <c r="O45" s="147">
        <f>SUM(O46:O48)</f>
        <v>122246630</v>
      </c>
    </row>
    <row r="46" spans="1:15" ht="12.75">
      <c r="A46" s="775" t="s">
        <v>334</v>
      </c>
      <c r="B46" s="145">
        <v>2763735.98</v>
      </c>
      <c r="C46" s="145">
        <v>2814637.88</v>
      </c>
      <c r="D46" s="145">
        <v>2833173.5</v>
      </c>
      <c r="E46" s="145">
        <v>2837127.34</v>
      </c>
      <c r="F46" s="145">
        <v>2840318.64</v>
      </c>
      <c r="G46" s="145">
        <v>2882730.59</v>
      </c>
      <c r="H46" s="147">
        <v>2865262.15</v>
      </c>
      <c r="I46" s="145">
        <v>3332256.67</v>
      </c>
      <c r="J46" s="145">
        <v>5161204.92</v>
      </c>
      <c r="K46" s="145">
        <v>2866511.53</v>
      </c>
      <c r="L46" s="145">
        <v>2854367.33</v>
      </c>
      <c r="M46" s="145">
        <v>2981712.76</v>
      </c>
      <c r="N46" s="145">
        <f t="shared" si="1"/>
        <v>37033039.29</v>
      </c>
      <c r="O46" s="147">
        <v>38146430</v>
      </c>
    </row>
    <row r="47" spans="1:15" ht="12.75">
      <c r="A47" s="775" t="s">
        <v>169</v>
      </c>
      <c r="B47" s="145">
        <v>230503.45</v>
      </c>
      <c r="C47" s="145">
        <v>658516.84</v>
      </c>
      <c r="D47" s="145">
        <v>225068.18</v>
      </c>
      <c r="E47" s="145">
        <v>220851.13</v>
      </c>
      <c r="F47" s="145">
        <v>262083.7</v>
      </c>
      <c r="G47" s="145">
        <v>270346.87</v>
      </c>
      <c r="H47" s="147">
        <v>231477.54</v>
      </c>
      <c r="I47" s="145">
        <v>461000.12</v>
      </c>
      <c r="J47" s="145">
        <v>229279.09</v>
      </c>
      <c r="K47" s="145">
        <v>239494.46</v>
      </c>
      <c r="L47" s="145">
        <v>238668.16</v>
      </c>
      <c r="M47" s="145">
        <v>239197.9</v>
      </c>
      <c r="N47" s="145">
        <f t="shared" si="1"/>
        <v>3506487.44</v>
      </c>
      <c r="O47" s="147">
        <v>3900000</v>
      </c>
    </row>
    <row r="48" spans="1:15" ht="12.75">
      <c r="A48" s="775" t="s">
        <v>172</v>
      </c>
      <c r="B48" s="145">
        <v>5375951.76</v>
      </c>
      <c r="C48" s="145">
        <v>4878533.41</v>
      </c>
      <c r="D48" s="145">
        <v>6365413.2</v>
      </c>
      <c r="E48" s="145">
        <v>5093346.55</v>
      </c>
      <c r="F48" s="145">
        <v>4358715.39</v>
      </c>
      <c r="G48" s="145">
        <v>7007362.04</v>
      </c>
      <c r="H48" s="147">
        <v>5706662.29</v>
      </c>
      <c r="I48" s="145">
        <v>8065061.35</v>
      </c>
      <c r="J48" s="145">
        <v>10847387.62</v>
      </c>
      <c r="K48" s="145">
        <v>8463850.59</v>
      </c>
      <c r="L48" s="145">
        <v>7694306.62</v>
      </c>
      <c r="M48" s="145">
        <v>4593843.33</v>
      </c>
      <c r="N48" s="145">
        <f t="shared" si="1"/>
        <v>78450434.15</v>
      </c>
      <c r="O48" s="147">
        <v>80200200</v>
      </c>
    </row>
    <row r="49" spans="1:15" ht="12.75">
      <c r="A49" s="779" t="s">
        <v>192</v>
      </c>
      <c r="B49" s="780">
        <f aca="true" t="shared" si="6" ref="B49:M49">B21-B45</f>
        <v>80476147.64000002</v>
      </c>
      <c r="C49" s="780">
        <f t="shared" si="6"/>
        <v>74475417.39999999</v>
      </c>
      <c r="D49" s="780">
        <f t="shared" si="6"/>
        <v>93014616.78000002</v>
      </c>
      <c r="E49" s="780">
        <f t="shared" si="6"/>
        <v>81403696.94</v>
      </c>
      <c r="F49" s="325">
        <f t="shared" si="6"/>
        <v>74829991.97999999</v>
      </c>
      <c r="G49" s="780">
        <f t="shared" si="6"/>
        <v>91209435.30999999</v>
      </c>
      <c r="H49" s="325">
        <f t="shared" si="6"/>
        <v>84095134.05</v>
      </c>
      <c r="I49" s="325">
        <f t="shared" si="6"/>
        <v>114470196.60000001</v>
      </c>
      <c r="J49" s="780">
        <f t="shared" si="6"/>
        <v>101192668.7</v>
      </c>
      <c r="K49" s="780">
        <f t="shared" si="6"/>
        <v>89760052.92</v>
      </c>
      <c r="L49" s="780">
        <f t="shared" si="6"/>
        <v>127870160.86000003</v>
      </c>
      <c r="M49" s="780">
        <f t="shared" si="6"/>
        <v>72623003.13000001</v>
      </c>
      <c r="N49" s="325">
        <f t="shared" si="1"/>
        <v>1085420522.3100002</v>
      </c>
      <c r="O49" s="325">
        <f>O21-O45</f>
        <v>1103110169.8899999</v>
      </c>
    </row>
    <row r="50" spans="1:15" ht="12.75">
      <c r="A50" s="779" t="s">
        <v>897</v>
      </c>
      <c r="B50" s="149">
        <v>0</v>
      </c>
      <c r="C50" s="149">
        <v>0</v>
      </c>
      <c r="D50" s="149">
        <v>0</v>
      </c>
      <c r="E50" s="149">
        <v>0</v>
      </c>
      <c r="F50" s="150">
        <v>0</v>
      </c>
      <c r="G50" s="149">
        <v>0</v>
      </c>
      <c r="H50" s="150">
        <v>0</v>
      </c>
      <c r="I50" s="150">
        <v>0</v>
      </c>
      <c r="J50" s="149">
        <v>126.95</v>
      </c>
      <c r="K50" s="149">
        <v>43.71</v>
      </c>
      <c r="L50" s="149">
        <v>196747.75</v>
      </c>
      <c r="M50" s="149">
        <v>50026.13</v>
      </c>
      <c r="N50" s="150">
        <f t="shared" si="1"/>
        <v>246944.54</v>
      </c>
      <c r="O50" s="150">
        <v>0</v>
      </c>
    </row>
    <row r="51" spans="1:15" ht="12.75">
      <c r="A51" s="779" t="s">
        <v>896</v>
      </c>
      <c r="B51" s="780">
        <f aca="true" t="shared" si="7" ref="B51:O51">B49-B50</f>
        <v>80476147.64000002</v>
      </c>
      <c r="C51" s="780">
        <f t="shared" si="7"/>
        <v>74475417.39999999</v>
      </c>
      <c r="D51" s="780">
        <f t="shared" si="7"/>
        <v>93014616.78000002</v>
      </c>
      <c r="E51" s="780">
        <f t="shared" si="7"/>
        <v>81403696.94</v>
      </c>
      <c r="F51" s="780">
        <f t="shared" si="7"/>
        <v>74829991.97999999</v>
      </c>
      <c r="G51" s="780">
        <f t="shared" si="7"/>
        <v>91209435.30999999</v>
      </c>
      <c r="H51" s="780">
        <f t="shared" si="7"/>
        <v>84095134.05</v>
      </c>
      <c r="I51" s="780">
        <f t="shared" si="7"/>
        <v>114470196.60000001</v>
      </c>
      <c r="J51" s="780">
        <f t="shared" si="7"/>
        <v>101192541.75</v>
      </c>
      <c r="K51" s="780">
        <f t="shared" si="7"/>
        <v>89760009.21000001</v>
      </c>
      <c r="L51" s="780">
        <f t="shared" si="7"/>
        <v>127673413.11000003</v>
      </c>
      <c r="M51" s="780">
        <f t="shared" si="7"/>
        <v>72572977.00000001</v>
      </c>
      <c r="N51" s="780">
        <f t="shared" si="7"/>
        <v>1085173577.7700002</v>
      </c>
      <c r="O51" s="325">
        <f t="shared" si="7"/>
        <v>1103110169.8899999</v>
      </c>
    </row>
    <row r="52" spans="1:15" ht="12.75">
      <c r="A52" s="779" t="s">
        <v>895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50">
        <f t="shared" si="1"/>
        <v>0</v>
      </c>
      <c r="O52" s="150">
        <v>0</v>
      </c>
    </row>
    <row r="53" spans="1:15" ht="12.75">
      <c r="A53" s="779" t="s">
        <v>894</v>
      </c>
      <c r="B53" s="780">
        <f aca="true" t="shared" si="8" ref="B53:O53">B51-B52</f>
        <v>80476147.64000002</v>
      </c>
      <c r="C53" s="780">
        <f t="shared" si="8"/>
        <v>74475417.39999999</v>
      </c>
      <c r="D53" s="780">
        <f t="shared" si="8"/>
        <v>93014616.78000002</v>
      </c>
      <c r="E53" s="780">
        <f t="shared" si="8"/>
        <v>81403696.94</v>
      </c>
      <c r="F53" s="780">
        <f t="shared" si="8"/>
        <v>74829991.97999999</v>
      </c>
      <c r="G53" s="780">
        <f t="shared" si="8"/>
        <v>91209435.30999999</v>
      </c>
      <c r="H53" s="780">
        <f t="shared" si="8"/>
        <v>84095134.05</v>
      </c>
      <c r="I53" s="780">
        <f t="shared" si="8"/>
        <v>114470196.60000001</v>
      </c>
      <c r="J53" s="780">
        <f t="shared" si="8"/>
        <v>101192541.75</v>
      </c>
      <c r="K53" s="780">
        <f t="shared" si="8"/>
        <v>89760009.21000001</v>
      </c>
      <c r="L53" s="780">
        <f t="shared" si="8"/>
        <v>127673413.11000003</v>
      </c>
      <c r="M53" s="780">
        <f t="shared" si="8"/>
        <v>72572977.00000001</v>
      </c>
      <c r="N53" s="780">
        <f t="shared" si="8"/>
        <v>1085173577.7700002</v>
      </c>
      <c r="O53" s="325">
        <f t="shared" si="8"/>
        <v>1103110169.8899999</v>
      </c>
    </row>
    <row r="54" spans="1:15" ht="12.75">
      <c r="A54" s="790" t="s">
        <v>1064</v>
      </c>
      <c r="B54" s="799"/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</row>
    <row r="55" spans="1:15" ht="12.75">
      <c r="A55" s="822" t="s">
        <v>1078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</row>
    <row r="56" spans="1:15" ht="12.75">
      <c r="A56" s="822"/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</row>
    <row r="57" spans="1:15" ht="12.75">
      <c r="A57" s="815" t="s">
        <v>1079</v>
      </c>
      <c r="B57" s="815"/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</row>
    <row r="58" spans="1:15" ht="12.75">
      <c r="A58" s="815"/>
      <c r="B58" s="815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</row>
    <row r="59" spans="1:15" ht="12.75">
      <c r="A59" s="86"/>
      <c r="B59" s="86"/>
      <c r="C59" s="86"/>
      <c r="D59" s="86"/>
      <c r="E59" s="86"/>
      <c r="F59" s="86"/>
      <c r="G59" s="86"/>
      <c r="I59" s="86"/>
      <c r="J59" s="86"/>
      <c r="K59" s="86"/>
      <c r="L59" s="86"/>
      <c r="M59" s="86"/>
      <c r="N59" s="86"/>
      <c r="O59" s="86"/>
    </row>
    <row r="60" spans="1:15" ht="12.75">
      <c r="A60" s="610" t="s">
        <v>1056</v>
      </c>
      <c r="B60" s="365"/>
      <c r="C60" s="365"/>
      <c r="F60" s="73" t="s">
        <v>1058</v>
      </c>
      <c r="H60" s="73"/>
      <c r="I60" s="73"/>
      <c r="K60" s="365"/>
      <c r="L60" s="610" t="s">
        <v>1060</v>
      </c>
      <c r="N60" s="610"/>
      <c r="O60" s="610"/>
    </row>
    <row r="61" spans="1:15" ht="12.75">
      <c r="A61" s="610" t="s">
        <v>1057</v>
      </c>
      <c r="B61" s="365"/>
      <c r="C61" s="365"/>
      <c r="F61" s="73" t="s">
        <v>1059</v>
      </c>
      <c r="H61" s="73"/>
      <c r="I61" s="73"/>
      <c r="K61" s="365"/>
      <c r="L61" s="365" t="s">
        <v>1061</v>
      </c>
      <c r="N61" s="365"/>
      <c r="O61" s="365"/>
    </row>
    <row r="62" spans="1:15" ht="12.75">
      <c r="A62" s="781"/>
      <c r="B62" s="781"/>
      <c r="C62" s="781"/>
      <c r="F62" s="73" t="s">
        <v>1072</v>
      </c>
      <c r="H62" s="73"/>
      <c r="I62" s="73"/>
      <c r="J62" s="781"/>
      <c r="K62" s="781"/>
      <c r="L62" s="610" t="s">
        <v>1073</v>
      </c>
      <c r="N62" s="610"/>
      <c r="O62" s="610"/>
    </row>
    <row r="63" ht="12.75" hidden="1"/>
    <row r="64" spans="1:15" s="184" customFormat="1" ht="12.75" customHeight="1" hidden="1">
      <c r="A64" s="87"/>
      <c r="B64" s="87"/>
      <c r="C64" s="87"/>
      <c r="D64" s="87"/>
      <c r="E64" s="87"/>
      <c r="F64" s="87"/>
      <c r="G64" s="87"/>
      <c r="H64" s="86"/>
      <c r="I64" s="87"/>
      <c r="J64" s="87"/>
      <c r="K64" s="87"/>
      <c r="L64" s="87"/>
      <c r="M64" s="87"/>
      <c r="N64" s="87"/>
      <c r="O64" s="87"/>
    </row>
    <row r="65" ht="12.75" hidden="1"/>
    <row r="66" spans="1:15" s="86" customFormat="1" ht="12.75" hidden="1">
      <c r="A66" s="87"/>
      <c r="B66" s="87"/>
      <c r="C66" s="87"/>
      <c r="D66" s="87"/>
      <c r="E66" s="87"/>
      <c r="F66" s="87"/>
      <c r="G66" s="87"/>
      <c r="I66" s="87"/>
      <c r="J66" s="87"/>
      <c r="K66" s="87"/>
      <c r="L66" s="87"/>
      <c r="M66" s="87"/>
      <c r="N66" s="87"/>
      <c r="O66" s="87"/>
    </row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7">
    <mergeCell ref="A57:O58"/>
    <mergeCell ref="B18:M19"/>
    <mergeCell ref="A11:O11"/>
    <mergeCell ref="A13:O13"/>
    <mergeCell ref="A14:O14"/>
    <mergeCell ref="A54:O54"/>
    <mergeCell ref="A55:O56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2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71.00390625" style="4" customWidth="1"/>
    <col min="2" max="9" width="18.00390625" style="4" customWidth="1"/>
    <col min="10" max="16384" width="9.140625" style="4" customWidth="1"/>
  </cols>
  <sheetData>
    <row r="1" ht="12.75"/>
    <row r="2" ht="25.5" customHeight="1">
      <c r="A2" s="251" t="s">
        <v>1051</v>
      </c>
    </row>
    <row r="3" ht="15.75" customHeight="1">
      <c r="A3" s="252" t="s">
        <v>1052</v>
      </c>
    </row>
    <row r="4" ht="15.75" customHeight="1">
      <c r="A4" s="252" t="s">
        <v>1053</v>
      </c>
    </row>
    <row r="5" ht="15.75" customHeight="1">
      <c r="A5" s="252" t="s">
        <v>1054</v>
      </c>
    </row>
    <row r="6" ht="15.75">
      <c r="A6" s="42" t="s">
        <v>678</v>
      </c>
    </row>
    <row r="7" ht="12.75">
      <c r="A7" s="43"/>
    </row>
    <row r="8" spans="1:6" ht="12.75">
      <c r="A8" s="44" t="s">
        <v>1051</v>
      </c>
      <c r="B8" s="45"/>
      <c r="C8" s="45"/>
      <c r="D8" s="45"/>
      <c r="E8" s="45"/>
      <c r="F8" s="45"/>
    </row>
    <row r="9" spans="1:6" ht="12.75">
      <c r="A9" s="45" t="s">
        <v>68</v>
      </c>
      <c r="B9" s="45"/>
      <c r="C9" s="45"/>
      <c r="D9" s="45"/>
      <c r="E9" s="45"/>
      <c r="F9" s="45"/>
    </row>
    <row r="10" spans="1:6" ht="12.75">
      <c r="A10" s="725" t="s">
        <v>648</v>
      </c>
      <c r="B10" s="725"/>
      <c r="C10" s="725"/>
      <c r="D10" s="725"/>
      <c r="E10" s="725"/>
      <c r="F10" s="725"/>
    </row>
    <row r="11" spans="1:6" ht="12.75">
      <c r="A11" s="808" t="s">
        <v>131</v>
      </c>
      <c r="B11" s="808"/>
      <c r="C11" s="808"/>
      <c r="D11" s="808"/>
      <c r="E11" s="808"/>
      <c r="F11" s="808"/>
    </row>
    <row r="12" spans="1:6" ht="12.75">
      <c r="A12" s="47" t="s">
        <v>1055</v>
      </c>
      <c r="B12" s="4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49"/>
      <c r="D12" s="49"/>
      <c r="E12" s="49"/>
      <c r="F12" s="49"/>
    </row>
    <row r="13" spans="1:6" ht="12.75" customHeight="1" hidden="1">
      <c r="A13" s="808"/>
      <c r="B13" s="808"/>
      <c r="C13" s="808"/>
      <c r="D13" s="808"/>
      <c r="E13" s="808"/>
      <c r="F13" s="808"/>
    </row>
    <row r="14" spans="1:6" ht="12.75" customHeight="1" hidden="1">
      <c r="A14" s="808"/>
      <c r="B14" s="808"/>
      <c r="C14" s="808"/>
      <c r="D14" s="808"/>
      <c r="E14" s="808"/>
      <c r="F14" s="808"/>
    </row>
    <row r="15" spans="1:6" ht="12.75">
      <c r="A15" s="45"/>
      <c r="B15" s="45"/>
      <c r="C15" s="45"/>
      <c r="D15" s="45"/>
      <c r="E15" s="45"/>
      <c r="F15" s="45"/>
    </row>
    <row r="16" spans="1:6" ht="11.25" customHeight="1" hidden="1">
      <c r="A16" s="49"/>
      <c r="B16" s="49"/>
      <c r="C16" s="49"/>
      <c r="D16" s="49"/>
      <c r="E16" s="49"/>
      <c r="F16" s="49"/>
    </row>
    <row r="17" spans="1:5" ht="12.75" customHeight="1">
      <c r="A17" s="4" t="s">
        <v>335</v>
      </c>
      <c r="E17" s="726" t="s">
        <v>360</v>
      </c>
    </row>
    <row r="18" spans="1:6" ht="12.75" customHeight="1">
      <c r="A18" s="727"/>
      <c r="B18" s="828" t="s">
        <v>467</v>
      </c>
      <c r="C18" s="836" t="s">
        <v>197</v>
      </c>
      <c r="D18" s="834" t="s">
        <v>72</v>
      </c>
      <c r="E18" s="835"/>
      <c r="F18" s="728"/>
    </row>
    <row r="19" spans="1:6" ht="12.75" customHeight="1">
      <c r="A19" s="96" t="s">
        <v>654</v>
      </c>
      <c r="B19" s="829"/>
      <c r="C19" s="837"/>
      <c r="D19" s="729" t="str">
        <f>CONCATENATE("Até o ",B12)</f>
        <v>Até o Bimestre</v>
      </c>
      <c r="E19" s="730" t="str">
        <f>CONCATENATE("Até o  ",B12)</f>
        <v>Até o  Bimestre</v>
      </c>
      <c r="F19" s="728"/>
    </row>
    <row r="20" spans="1:6" ht="12.75" customHeight="1">
      <c r="A20" s="731"/>
      <c r="B20" s="830"/>
      <c r="C20" s="838"/>
      <c r="D20" s="732" t="s">
        <v>151</v>
      </c>
      <c r="E20" s="733" t="s">
        <v>152</v>
      </c>
      <c r="F20" s="728"/>
    </row>
    <row r="21" spans="1:6" ht="12.75">
      <c r="A21" s="86" t="s">
        <v>647</v>
      </c>
      <c r="B21" s="734">
        <f>B22+B31+B40+B44+B45</f>
        <v>164730800</v>
      </c>
      <c r="C21" s="734">
        <f>C22+C31+C40+C44+C45</f>
        <v>164730800</v>
      </c>
      <c r="D21" s="734">
        <f>D22+D31+D40+D44+D45</f>
        <v>57444599.22</v>
      </c>
      <c r="E21" s="735">
        <f>E22+E31+E40+E44+E45</f>
        <v>79738216.49</v>
      </c>
      <c r="F21" s="728"/>
    </row>
    <row r="22" spans="1:5" ht="12.75">
      <c r="A22" s="87" t="s">
        <v>87</v>
      </c>
      <c r="B22" s="734">
        <f>B23+B27</f>
        <v>38146430</v>
      </c>
      <c r="C22" s="734">
        <f>C23+C27</f>
        <v>38146430</v>
      </c>
      <c r="D22" s="734">
        <f>D23+D27</f>
        <v>13863796.54</v>
      </c>
      <c r="E22" s="736">
        <f>E23+E27</f>
        <v>11753997.780000001</v>
      </c>
    </row>
    <row r="23" spans="1:5" ht="12.75">
      <c r="A23" s="87" t="s">
        <v>283</v>
      </c>
      <c r="B23" s="734">
        <f>SUM(B24:B26)</f>
        <v>38146430</v>
      </c>
      <c r="C23" s="734">
        <f>SUM(C24:C26)</f>
        <v>38146430</v>
      </c>
      <c r="D23" s="734">
        <f>SUM(D24:D26)</f>
        <v>13863796.54</v>
      </c>
      <c r="E23" s="736">
        <f>SUM(E24:E26)</f>
        <v>11753997.780000001</v>
      </c>
    </row>
    <row r="24" spans="1:5" ht="12.75">
      <c r="A24" s="87" t="s">
        <v>88</v>
      </c>
      <c r="B24" s="734">
        <v>36971130</v>
      </c>
      <c r="C24" s="734">
        <v>36971130</v>
      </c>
      <c r="D24" s="734">
        <v>13379656.61</v>
      </c>
      <c r="E24" s="169">
        <v>11465166.18</v>
      </c>
    </row>
    <row r="25" spans="1:5" ht="12.75">
      <c r="A25" s="87" t="s">
        <v>89</v>
      </c>
      <c r="B25" s="734">
        <v>1091500</v>
      </c>
      <c r="C25" s="734">
        <v>1091500</v>
      </c>
      <c r="D25" s="734">
        <v>457472.33</v>
      </c>
      <c r="E25" s="169">
        <v>266857.89</v>
      </c>
    </row>
    <row r="26" spans="1:5" ht="12.75">
      <c r="A26" s="87" t="s">
        <v>90</v>
      </c>
      <c r="B26" s="734">
        <v>83800</v>
      </c>
      <c r="C26" s="734">
        <v>83800</v>
      </c>
      <c r="D26" s="734">
        <v>26667.6</v>
      </c>
      <c r="E26" s="169">
        <v>21973.71</v>
      </c>
    </row>
    <row r="27" spans="1:5" ht="12.75">
      <c r="A27" s="87" t="s">
        <v>284</v>
      </c>
      <c r="B27" s="734">
        <f>SUM(B28:B30)</f>
        <v>0</v>
      </c>
      <c r="C27" s="734">
        <f>SUM(C28:C30)</f>
        <v>0</v>
      </c>
      <c r="D27" s="734">
        <f>SUM(D28:D30)</f>
        <v>0</v>
      </c>
      <c r="E27" s="736">
        <f>SUM(E28:E30)</f>
        <v>0</v>
      </c>
    </row>
    <row r="28" spans="1:5" ht="12.75">
      <c r="A28" s="87" t="s">
        <v>91</v>
      </c>
      <c r="B28" s="734"/>
      <c r="C28" s="734"/>
      <c r="D28" s="734"/>
      <c r="E28" s="736"/>
    </row>
    <row r="29" spans="1:5" ht="12.75">
      <c r="A29" s="87" t="s">
        <v>92</v>
      </c>
      <c r="B29" s="734"/>
      <c r="C29" s="734"/>
      <c r="D29" s="734"/>
      <c r="E29" s="736"/>
    </row>
    <row r="30" spans="1:5" ht="12.75">
      <c r="A30" s="87" t="s">
        <v>90</v>
      </c>
      <c r="B30" s="734"/>
      <c r="C30" s="734"/>
      <c r="D30" s="734"/>
      <c r="E30" s="736"/>
    </row>
    <row r="31" spans="1:5" ht="12.75">
      <c r="A31" s="87" t="s">
        <v>646</v>
      </c>
      <c r="B31" s="734">
        <f>B32+B36</f>
        <v>62670320</v>
      </c>
      <c r="C31" s="734">
        <f>C32+C36</f>
        <v>62670320</v>
      </c>
      <c r="D31" s="734">
        <f>D32+D36</f>
        <v>22708225.62</v>
      </c>
      <c r="E31" s="736">
        <f>E32+E36</f>
        <v>19207334.98</v>
      </c>
    </row>
    <row r="32" spans="1:5" ht="12.75">
      <c r="A32" s="87" t="s">
        <v>283</v>
      </c>
      <c r="B32" s="734">
        <f>SUM(B33:B35)</f>
        <v>62670320</v>
      </c>
      <c r="C32" s="734">
        <f>SUM(C33:C35)</f>
        <v>62670320</v>
      </c>
      <c r="D32" s="734">
        <f>SUM(D33:D35)</f>
        <v>22708225.62</v>
      </c>
      <c r="E32" s="736">
        <f>SUM(E33:E35)</f>
        <v>19207334.98</v>
      </c>
    </row>
    <row r="33" spans="1:5" ht="12.75">
      <c r="A33" s="87" t="s">
        <v>88</v>
      </c>
      <c r="B33" s="734">
        <v>62670320</v>
      </c>
      <c r="C33" s="734">
        <v>62670320</v>
      </c>
      <c r="D33" s="734">
        <v>22708225.62</v>
      </c>
      <c r="E33" s="169">
        <v>19207334.98</v>
      </c>
    </row>
    <row r="34" spans="1:5" ht="12.75">
      <c r="A34" s="87" t="s">
        <v>89</v>
      </c>
      <c r="B34" s="734"/>
      <c r="C34" s="734"/>
      <c r="D34" s="734"/>
      <c r="E34" s="736"/>
    </row>
    <row r="35" spans="1:5" ht="12.75">
      <c r="A35" s="87" t="s">
        <v>90</v>
      </c>
      <c r="B35" s="734"/>
      <c r="C35" s="734"/>
      <c r="D35" s="734"/>
      <c r="E35" s="736"/>
    </row>
    <row r="36" spans="1:5" ht="12.75">
      <c r="A36" s="87" t="s">
        <v>284</v>
      </c>
      <c r="B36" s="734">
        <f>SUM(B37:B39)</f>
        <v>0</v>
      </c>
      <c r="C36" s="734">
        <f>SUM(C37:C39)</f>
        <v>0</v>
      </c>
      <c r="D36" s="734">
        <f>SUM(D37:D39)</f>
        <v>0</v>
      </c>
      <c r="E36" s="736">
        <f>SUM(E37:E39)</f>
        <v>0</v>
      </c>
    </row>
    <row r="37" spans="1:5" ht="12.75">
      <c r="A37" s="87" t="s">
        <v>91</v>
      </c>
      <c r="B37" s="734"/>
      <c r="C37" s="734"/>
      <c r="D37" s="734"/>
      <c r="E37" s="736"/>
    </row>
    <row r="38" spans="1:5" ht="12.75">
      <c r="A38" s="87" t="s">
        <v>92</v>
      </c>
      <c r="B38" s="734"/>
      <c r="C38" s="734"/>
      <c r="D38" s="734"/>
      <c r="E38" s="736"/>
    </row>
    <row r="39" spans="1:5" ht="12.75">
      <c r="A39" s="87" t="s">
        <v>90</v>
      </c>
      <c r="B39" s="734"/>
      <c r="C39" s="734"/>
      <c r="D39" s="734"/>
      <c r="E39" s="736"/>
    </row>
    <row r="40" spans="1:5" ht="12.75">
      <c r="A40" s="87" t="s">
        <v>310</v>
      </c>
      <c r="B40" s="734">
        <f>SUM(B41:B43)</f>
        <v>60000000</v>
      </c>
      <c r="C40" s="734">
        <f>SUM(C41:C43)</f>
        <v>60000000</v>
      </c>
      <c r="D40" s="734">
        <f>SUM(D41:D43)</f>
        <v>19919380.79</v>
      </c>
      <c r="E40" s="736">
        <f>SUM(E41:E43)</f>
        <v>47895194.85</v>
      </c>
    </row>
    <row r="41" spans="1:5" ht="12.75">
      <c r="A41" s="87" t="s">
        <v>13</v>
      </c>
      <c r="B41" s="734"/>
      <c r="C41" s="734"/>
      <c r="D41" s="734"/>
      <c r="E41" s="736"/>
    </row>
    <row r="42" spans="1:5" ht="12.75">
      <c r="A42" s="87" t="s">
        <v>14</v>
      </c>
      <c r="B42" s="734">
        <v>60000000</v>
      </c>
      <c r="C42" s="734">
        <v>60000000</v>
      </c>
      <c r="D42" s="734">
        <v>19919380.79</v>
      </c>
      <c r="E42" s="169">
        <v>47895194.85</v>
      </c>
    </row>
    <row r="43" spans="1:5" ht="12.75">
      <c r="A43" s="87" t="s">
        <v>15</v>
      </c>
      <c r="B43" s="734"/>
      <c r="C43" s="734"/>
      <c r="D43" s="734"/>
      <c r="E43" s="736"/>
    </row>
    <row r="44" spans="1:5" ht="12.75">
      <c r="A44" s="87" t="s">
        <v>185</v>
      </c>
      <c r="B44" s="734"/>
      <c r="C44" s="734"/>
      <c r="D44" s="734"/>
      <c r="E44" s="736"/>
    </row>
    <row r="45" spans="1:5" ht="12.75">
      <c r="A45" s="87" t="s">
        <v>285</v>
      </c>
      <c r="B45" s="734">
        <f>SUM(B46:B48)</f>
        <v>3914050</v>
      </c>
      <c r="C45" s="734">
        <f>SUM(C46:C48)</f>
        <v>3914050</v>
      </c>
      <c r="D45" s="734">
        <f>SUM(D46:D48)</f>
        <v>953196.27</v>
      </c>
      <c r="E45" s="736">
        <f>SUM(E46:E48)</f>
        <v>881688.88</v>
      </c>
    </row>
    <row r="46" spans="1:5" ht="12.75">
      <c r="A46" s="87" t="s">
        <v>186</v>
      </c>
      <c r="B46" s="734">
        <v>3900000</v>
      </c>
      <c r="C46" s="734">
        <v>3900000</v>
      </c>
      <c r="D46" s="734">
        <v>946639.61</v>
      </c>
      <c r="E46" s="736">
        <v>877227.2</v>
      </c>
    </row>
    <row r="47" spans="1:5" ht="12.75">
      <c r="A47" s="87" t="s">
        <v>855</v>
      </c>
      <c r="B47" s="734"/>
      <c r="C47" s="734"/>
      <c r="D47" s="734"/>
      <c r="E47" s="736"/>
    </row>
    <row r="48" spans="1:5" ht="12.75">
      <c r="A48" s="87" t="s">
        <v>93</v>
      </c>
      <c r="B48" s="734">
        <v>14050</v>
      </c>
      <c r="C48" s="734">
        <v>14050</v>
      </c>
      <c r="D48" s="734">
        <v>6556.66</v>
      </c>
      <c r="E48" s="736">
        <v>4461.68</v>
      </c>
    </row>
    <row r="49" spans="1:5" ht="12.75">
      <c r="A49" s="87" t="s">
        <v>856</v>
      </c>
      <c r="B49" s="734">
        <f>SUM(B50:B52)</f>
        <v>0</v>
      </c>
      <c r="C49" s="734">
        <f>SUM(C50:C52)</f>
        <v>0</v>
      </c>
      <c r="D49" s="734">
        <f>SUM(D50:D52)</f>
        <v>0</v>
      </c>
      <c r="E49" s="736">
        <f>SUM(E50:E52)</f>
        <v>0</v>
      </c>
    </row>
    <row r="50" spans="1:5" ht="12.75">
      <c r="A50" s="87" t="s">
        <v>85</v>
      </c>
      <c r="B50" s="734"/>
      <c r="C50" s="734"/>
      <c r="D50" s="734"/>
      <c r="E50" s="736"/>
    </row>
    <row r="51" spans="1:5" ht="12.75">
      <c r="A51" s="87" t="s">
        <v>187</v>
      </c>
      <c r="B51" s="734"/>
      <c r="C51" s="734"/>
      <c r="D51" s="734"/>
      <c r="E51" s="736"/>
    </row>
    <row r="52" spans="1:5" ht="12.75">
      <c r="A52" s="87" t="s">
        <v>286</v>
      </c>
      <c r="B52" s="734"/>
      <c r="C52" s="734"/>
      <c r="D52" s="734"/>
      <c r="E52" s="736"/>
    </row>
    <row r="53" spans="1:5" ht="12.75">
      <c r="A53" s="737" t="s">
        <v>857</v>
      </c>
      <c r="B53" s="159">
        <f>B21+B49-B47</f>
        <v>164730800</v>
      </c>
      <c r="C53" s="159">
        <f>C21+C49-C47</f>
        <v>164730800</v>
      </c>
      <c r="D53" s="159">
        <f>D21+D49-D47</f>
        <v>57444599.22</v>
      </c>
      <c r="E53" s="738">
        <f>E21+E49-E47</f>
        <v>79738216.49</v>
      </c>
    </row>
    <row r="54" spans="1:5" ht="15" customHeight="1" hidden="1">
      <c r="A54" s="2"/>
      <c r="B54" s="2"/>
      <c r="C54" s="3"/>
      <c r="D54" s="3"/>
      <c r="E54" s="3"/>
    </row>
    <row r="55" spans="1:5" ht="12.75" customHeight="1" hidden="1">
      <c r="A55" s="2"/>
      <c r="B55" s="2"/>
      <c r="C55" s="3"/>
      <c r="D55" s="3"/>
      <c r="E55" s="3"/>
    </row>
    <row r="56" spans="1:5" ht="12.75" customHeight="1" hidden="1">
      <c r="A56" s="2"/>
      <c r="B56" s="2"/>
      <c r="C56" s="3"/>
      <c r="D56" s="3"/>
      <c r="E56" s="3"/>
    </row>
    <row r="57" spans="1:5" ht="12.75" customHeight="1" hidden="1">
      <c r="A57" s="2"/>
      <c r="B57" s="2"/>
      <c r="C57" s="3"/>
      <c r="D57" s="3"/>
      <c r="E57" s="3"/>
    </row>
    <row r="58" spans="1:5" ht="12.75" customHeight="1" hidden="1">
      <c r="A58" s="2"/>
      <c r="B58" s="2"/>
      <c r="C58" s="3"/>
      <c r="D58" s="3"/>
      <c r="E58" s="3"/>
    </row>
    <row r="59" spans="2:6" ht="12.75" customHeight="1">
      <c r="B59" s="77"/>
      <c r="C59" s="77"/>
      <c r="D59" s="77"/>
      <c r="E59" s="77"/>
      <c r="F59" s="91"/>
    </row>
    <row r="60" spans="1:9" ht="27.75" customHeight="1">
      <c r="A60" s="839" t="s">
        <v>655</v>
      </c>
      <c r="B60" s="828" t="s">
        <v>559</v>
      </c>
      <c r="C60" s="831" t="s">
        <v>198</v>
      </c>
      <c r="D60" s="834" t="s">
        <v>104</v>
      </c>
      <c r="E60" s="835"/>
      <c r="F60" s="834" t="s">
        <v>105</v>
      </c>
      <c r="G60" s="835"/>
      <c r="H60" s="834" t="s">
        <v>320</v>
      </c>
      <c r="I60" s="835"/>
    </row>
    <row r="61" spans="1:9" ht="17.25" customHeight="1">
      <c r="A61" s="840"/>
      <c r="B61" s="829"/>
      <c r="C61" s="832"/>
      <c r="D61" s="729" t="str">
        <f>E19</f>
        <v>Até o  Bimestre</v>
      </c>
      <c r="E61" s="729" t="str">
        <f>E19</f>
        <v>Até o  Bimestre</v>
      </c>
      <c r="F61" s="729" t="str">
        <f>E19</f>
        <v>Até o  Bimestre</v>
      </c>
      <c r="G61" s="729" t="str">
        <f>E19</f>
        <v>Até o  Bimestre</v>
      </c>
      <c r="H61" s="730" t="s">
        <v>627</v>
      </c>
      <c r="I61" s="730" t="s">
        <v>626</v>
      </c>
    </row>
    <row r="62" spans="1:9" ht="12.75">
      <c r="A62" s="841"/>
      <c r="B62" s="830"/>
      <c r="C62" s="833"/>
      <c r="D62" s="732" t="s">
        <v>151</v>
      </c>
      <c r="E62" s="732" t="s">
        <v>152</v>
      </c>
      <c r="F62" s="732" t="s">
        <v>151</v>
      </c>
      <c r="G62" s="732" t="s">
        <v>152</v>
      </c>
      <c r="H62" s="733" t="s">
        <v>628</v>
      </c>
      <c r="I62" s="733" t="s">
        <v>152</v>
      </c>
    </row>
    <row r="63" spans="1:9" ht="12.75">
      <c r="A63" s="739" t="s">
        <v>650</v>
      </c>
      <c r="B63" s="170">
        <f aca="true" t="shared" si="0" ref="B63:I63">SUM(B64:B66)</f>
        <v>86310000</v>
      </c>
      <c r="C63" s="170">
        <f t="shared" si="0"/>
        <v>86310000</v>
      </c>
      <c r="D63" s="170">
        <f t="shared" si="0"/>
        <v>23482991.580000002</v>
      </c>
      <c r="E63" s="170">
        <f t="shared" si="0"/>
        <v>17969544.44</v>
      </c>
      <c r="F63" s="170">
        <f t="shared" si="0"/>
        <v>23482991.580000002</v>
      </c>
      <c r="G63" s="170">
        <f t="shared" si="0"/>
        <v>17969544.44</v>
      </c>
      <c r="H63" s="170">
        <f t="shared" si="0"/>
        <v>0</v>
      </c>
      <c r="I63" s="740">
        <f t="shared" si="0"/>
        <v>0</v>
      </c>
    </row>
    <row r="64" spans="1:9" ht="12.75">
      <c r="A64" s="739" t="s">
        <v>287</v>
      </c>
      <c r="B64" s="170">
        <v>69810000</v>
      </c>
      <c r="C64" s="170">
        <v>69810000</v>
      </c>
      <c r="D64" s="170">
        <v>19234695.71</v>
      </c>
      <c r="E64" s="170">
        <v>13678840.32</v>
      </c>
      <c r="F64" s="170">
        <v>19234695.71</v>
      </c>
      <c r="G64" s="170">
        <v>13678840.32</v>
      </c>
      <c r="H64" s="170"/>
      <c r="I64" s="169"/>
    </row>
    <row r="65" spans="1:9" ht="12.75">
      <c r="A65" s="739" t="s">
        <v>288</v>
      </c>
      <c r="B65" s="170">
        <v>10000000</v>
      </c>
      <c r="C65" s="170">
        <v>10000000</v>
      </c>
      <c r="D65" s="170">
        <v>2351254.07</v>
      </c>
      <c r="E65" s="170">
        <v>2129945.33</v>
      </c>
      <c r="F65" s="170">
        <v>2351254.07</v>
      </c>
      <c r="G65" s="170">
        <v>2129945.33</v>
      </c>
      <c r="H65" s="170"/>
      <c r="I65" s="169"/>
    </row>
    <row r="66" spans="1:9" ht="12.75">
      <c r="A66" s="739" t="s">
        <v>289</v>
      </c>
      <c r="B66" s="170">
        <v>6500000</v>
      </c>
      <c r="C66" s="170">
        <v>6500000</v>
      </c>
      <c r="D66" s="170">
        <v>1897041.8</v>
      </c>
      <c r="E66" s="170">
        <v>2160758.79</v>
      </c>
      <c r="F66" s="170">
        <v>1897041.8</v>
      </c>
      <c r="G66" s="170">
        <v>2160758.79</v>
      </c>
      <c r="H66" s="170"/>
      <c r="I66" s="169"/>
    </row>
    <row r="67" spans="1:9" ht="12.75">
      <c r="A67" s="739" t="s">
        <v>651</v>
      </c>
      <c r="B67" s="170">
        <f aca="true" t="shared" si="1" ref="B67:I67">SUM(B68:B70)</f>
        <v>0</v>
      </c>
      <c r="C67" s="170">
        <f t="shared" si="1"/>
        <v>0</v>
      </c>
      <c r="D67" s="170">
        <f t="shared" si="1"/>
        <v>0</v>
      </c>
      <c r="E67" s="170">
        <f t="shared" si="1"/>
        <v>0</v>
      </c>
      <c r="F67" s="170">
        <f t="shared" si="1"/>
        <v>0</v>
      </c>
      <c r="G67" s="170">
        <f t="shared" si="1"/>
        <v>0</v>
      </c>
      <c r="H67" s="170">
        <f t="shared" si="1"/>
        <v>0</v>
      </c>
      <c r="I67" s="169">
        <f t="shared" si="1"/>
        <v>0</v>
      </c>
    </row>
    <row r="68" spans="1:9" ht="12.75">
      <c r="A68" s="739" t="s">
        <v>290</v>
      </c>
      <c r="B68" s="170"/>
      <c r="C68" s="170"/>
      <c r="D68" s="170"/>
      <c r="E68" s="170"/>
      <c r="F68" s="170"/>
      <c r="G68" s="170"/>
      <c r="H68" s="170"/>
      <c r="I68" s="169"/>
    </row>
    <row r="69" spans="1:9" ht="12.75">
      <c r="A69" s="739" t="s">
        <v>288</v>
      </c>
      <c r="B69" s="170"/>
      <c r="C69" s="170"/>
      <c r="D69" s="170"/>
      <c r="E69" s="170"/>
      <c r="F69" s="170"/>
      <c r="G69" s="170"/>
      <c r="H69" s="170"/>
      <c r="I69" s="169"/>
    </row>
    <row r="70" spans="1:9" ht="12.75">
      <c r="A70" s="739" t="s">
        <v>289</v>
      </c>
      <c r="B70" s="170"/>
      <c r="C70" s="170"/>
      <c r="D70" s="170"/>
      <c r="E70" s="170"/>
      <c r="F70" s="170"/>
      <c r="G70" s="170"/>
      <c r="H70" s="170"/>
      <c r="I70" s="169"/>
    </row>
    <row r="71" spans="1:9" ht="12.75">
      <c r="A71" s="739" t="s">
        <v>291</v>
      </c>
      <c r="B71" s="170">
        <f aca="true" t="shared" si="2" ref="B71:I71">SUM(B72:B73)</f>
        <v>5565000</v>
      </c>
      <c r="C71" s="170">
        <f t="shared" si="2"/>
        <v>5565000</v>
      </c>
      <c r="D71" s="170">
        <f t="shared" si="2"/>
        <v>1539077.79</v>
      </c>
      <c r="E71" s="170">
        <f t="shared" si="2"/>
        <v>1410871.76</v>
      </c>
      <c r="F71" s="170">
        <f t="shared" si="2"/>
        <v>1095366.45</v>
      </c>
      <c r="G71" s="170">
        <f t="shared" si="2"/>
        <v>1065474.3</v>
      </c>
      <c r="H71" s="170">
        <f t="shared" si="2"/>
        <v>0</v>
      </c>
      <c r="I71" s="169">
        <f t="shared" si="2"/>
        <v>0</v>
      </c>
    </row>
    <row r="72" spans="1:9" ht="12.75">
      <c r="A72" s="739" t="s">
        <v>188</v>
      </c>
      <c r="B72" s="170"/>
      <c r="C72" s="170"/>
      <c r="D72" s="170"/>
      <c r="E72" s="170"/>
      <c r="F72" s="170"/>
      <c r="G72" s="170"/>
      <c r="H72" s="170"/>
      <c r="I72" s="169"/>
    </row>
    <row r="73" spans="1:9" ht="12.75">
      <c r="A73" s="739" t="s">
        <v>37</v>
      </c>
      <c r="B73" s="170">
        <v>5565000</v>
      </c>
      <c r="C73" s="170">
        <v>5565000</v>
      </c>
      <c r="D73" s="170">
        <v>1539077.79</v>
      </c>
      <c r="E73" s="170">
        <v>1410871.76</v>
      </c>
      <c r="F73" s="170">
        <v>1095366.45</v>
      </c>
      <c r="G73" s="170">
        <v>1065474.3</v>
      </c>
      <c r="H73" s="170"/>
      <c r="I73" s="172"/>
    </row>
    <row r="74" spans="1:9" ht="12.75">
      <c r="A74" s="741" t="s">
        <v>904</v>
      </c>
      <c r="B74" s="742">
        <f aca="true" t="shared" si="3" ref="B74:I74">B63+B67+B71</f>
        <v>91875000</v>
      </c>
      <c r="C74" s="742">
        <f t="shared" si="3"/>
        <v>91875000</v>
      </c>
      <c r="D74" s="742">
        <f t="shared" si="3"/>
        <v>25022069.37</v>
      </c>
      <c r="E74" s="742">
        <f t="shared" si="3"/>
        <v>19380416.200000003</v>
      </c>
      <c r="F74" s="742">
        <f t="shared" si="3"/>
        <v>24578358.03</v>
      </c>
      <c r="G74" s="742">
        <f t="shared" si="3"/>
        <v>19035018.740000002</v>
      </c>
      <c r="H74" s="742">
        <f t="shared" si="3"/>
        <v>0</v>
      </c>
      <c r="I74" s="743">
        <f t="shared" si="3"/>
        <v>0</v>
      </c>
    </row>
    <row r="75" spans="1:9" ht="12.75">
      <c r="A75" s="744" t="s">
        <v>905</v>
      </c>
      <c r="B75" s="742">
        <f>B53-B74</f>
        <v>72855800</v>
      </c>
      <c r="C75" s="742">
        <f>C53-C74</f>
        <v>72855800</v>
      </c>
      <c r="D75" s="742">
        <f>D53-D74</f>
        <v>32422529.849999998</v>
      </c>
      <c r="E75" s="742">
        <f>E53-E74</f>
        <v>60357800.28999999</v>
      </c>
      <c r="F75" s="742">
        <f>D53-F74</f>
        <v>32866241.189999998</v>
      </c>
      <c r="G75" s="742">
        <f>E53-G74</f>
        <v>60703197.74999999</v>
      </c>
      <c r="H75" s="745"/>
      <c r="I75" s="745"/>
    </row>
    <row r="76" spans="3:9" ht="12.75" customHeight="1" hidden="1">
      <c r="C76" s="746"/>
      <c r="D76" s="746"/>
      <c r="E76" s="746"/>
      <c r="F76" s="746"/>
      <c r="G76" s="746"/>
      <c r="H76" s="746"/>
      <c r="I76" s="746"/>
    </row>
    <row r="77" spans="3:9" ht="12.75" customHeight="1" hidden="1">
      <c r="C77" s="746"/>
      <c r="D77" s="746"/>
      <c r="E77" s="746"/>
      <c r="F77" s="746"/>
      <c r="G77" s="746"/>
      <c r="H77" s="746"/>
      <c r="I77" s="746"/>
    </row>
    <row r="78" spans="3:9" ht="12.75" customHeight="1" hidden="1">
      <c r="C78" s="746"/>
      <c r="D78" s="746"/>
      <c r="E78" s="746"/>
      <c r="F78" s="746"/>
      <c r="G78" s="746"/>
      <c r="H78" s="746"/>
      <c r="I78" s="746"/>
    </row>
    <row r="79" spans="3:9" ht="12.75" customHeight="1" hidden="1">
      <c r="C79" s="746"/>
      <c r="D79" s="746"/>
      <c r="E79" s="746"/>
      <c r="F79" s="746"/>
      <c r="G79" s="746"/>
      <c r="H79" s="746"/>
      <c r="I79" s="746"/>
    </row>
    <row r="80" spans="3:9" ht="12.75" customHeight="1" hidden="1">
      <c r="C80" s="746"/>
      <c r="D80" s="746"/>
      <c r="E80" s="746"/>
      <c r="F80" s="746"/>
      <c r="G80" s="746"/>
      <c r="H80" s="746"/>
      <c r="I80" s="746"/>
    </row>
    <row r="81" spans="3:9" ht="12.75" customHeight="1" hidden="1">
      <c r="C81" s="746"/>
      <c r="D81" s="746"/>
      <c r="E81" s="746"/>
      <c r="F81" s="746"/>
      <c r="G81" s="746"/>
      <c r="H81" s="746"/>
      <c r="I81" s="746"/>
    </row>
    <row r="82" spans="3:9" ht="12.75">
      <c r="C82" s="746"/>
      <c r="D82" s="746"/>
      <c r="E82" s="746"/>
      <c r="F82" s="746"/>
      <c r="G82" s="746"/>
      <c r="H82" s="746"/>
      <c r="I82" s="746"/>
    </row>
    <row r="83" spans="1:9" ht="25.5">
      <c r="A83" s="747" t="s">
        <v>656</v>
      </c>
      <c r="B83" s="748" t="s">
        <v>86</v>
      </c>
      <c r="C83" s="746"/>
      <c r="D83" s="746"/>
      <c r="E83" s="746"/>
      <c r="F83" s="746"/>
      <c r="G83" s="746"/>
      <c r="H83" s="746"/>
      <c r="I83" s="746"/>
    </row>
    <row r="84" spans="1:9" ht="12.75">
      <c r="A84" s="749" t="s">
        <v>653</v>
      </c>
      <c r="B84" s="743"/>
      <c r="C84" s="746"/>
      <c r="D84" s="746"/>
      <c r="E84" s="746"/>
      <c r="F84" s="746"/>
      <c r="G84" s="746"/>
      <c r="H84" s="746"/>
      <c r="I84" s="746"/>
    </row>
    <row r="85" spans="3:9" ht="12.75">
      <c r="C85" s="746"/>
      <c r="D85" s="746"/>
      <c r="E85" s="746"/>
      <c r="F85" s="746"/>
      <c r="G85" s="746"/>
      <c r="H85" s="746"/>
      <c r="I85" s="746"/>
    </row>
    <row r="86" spans="3:9" ht="12.75" customHeight="1" hidden="1">
      <c r="C86" s="746"/>
      <c r="D86" s="746"/>
      <c r="E86" s="746"/>
      <c r="F86" s="746"/>
      <c r="G86" s="746"/>
      <c r="H86" s="746"/>
      <c r="I86" s="746"/>
    </row>
    <row r="87" spans="3:9" ht="12.75" customHeight="1" hidden="1">
      <c r="C87" s="746"/>
      <c r="D87" s="746"/>
      <c r="E87" s="746"/>
      <c r="F87" s="746"/>
      <c r="G87" s="746"/>
      <c r="H87" s="746"/>
      <c r="I87" s="746"/>
    </row>
    <row r="88" spans="3:9" ht="12.75" customHeight="1" hidden="1">
      <c r="C88" s="746"/>
      <c r="D88" s="746"/>
      <c r="E88" s="746"/>
      <c r="F88" s="746"/>
      <c r="G88" s="746"/>
      <c r="H88" s="746"/>
      <c r="I88" s="746"/>
    </row>
    <row r="89" spans="3:9" ht="12.75" customHeight="1" hidden="1">
      <c r="C89" s="746"/>
      <c r="D89" s="746"/>
      <c r="E89" s="746"/>
      <c r="F89" s="746"/>
      <c r="G89" s="746"/>
      <c r="H89" s="746"/>
      <c r="I89" s="746"/>
    </row>
    <row r="90" spans="3:9" ht="12.75" customHeight="1" hidden="1">
      <c r="C90" s="746"/>
      <c r="D90" s="746"/>
      <c r="E90" s="746"/>
      <c r="F90" s="746"/>
      <c r="G90" s="746"/>
      <c r="H90" s="746"/>
      <c r="I90" s="746"/>
    </row>
    <row r="91" spans="3:9" ht="12.75" customHeight="1" hidden="1">
      <c r="C91" s="746"/>
      <c r="D91" s="746"/>
      <c r="E91" s="746"/>
      <c r="F91" s="746"/>
      <c r="G91" s="746"/>
      <c r="H91" s="746"/>
      <c r="I91" s="746"/>
    </row>
    <row r="92" spans="1:9" ht="25.5">
      <c r="A92" s="750" t="s">
        <v>657</v>
      </c>
      <c r="B92" s="748" t="s">
        <v>86</v>
      </c>
      <c r="C92" s="746"/>
      <c r="D92" s="746"/>
      <c r="E92" s="746"/>
      <c r="F92" s="746"/>
      <c r="G92" s="746"/>
      <c r="H92" s="746"/>
      <c r="I92" s="746"/>
    </row>
    <row r="93" spans="1:9" ht="12.75">
      <c r="A93" s="749" t="s">
        <v>653</v>
      </c>
      <c r="B93" s="743">
        <v>77665800</v>
      </c>
      <c r="C93" s="746"/>
      <c r="D93" s="746"/>
      <c r="E93" s="746"/>
      <c r="F93" s="746"/>
      <c r="G93" s="746"/>
      <c r="H93" s="746"/>
      <c r="I93" s="746"/>
    </row>
    <row r="94" spans="3:9" ht="12.75" customHeight="1" hidden="1">
      <c r="C94" s="746"/>
      <c r="D94" s="746"/>
      <c r="E94" s="746"/>
      <c r="F94" s="746"/>
      <c r="G94" s="746"/>
      <c r="H94" s="746"/>
      <c r="I94" s="746"/>
    </row>
    <row r="95" spans="3:9" ht="12.75" customHeight="1" hidden="1">
      <c r="C95" s="746"/>
      <c r="D95" s="746"/>
      <c r="E95" s="746"/>
      <c r="F95" s="746"/>
      <c r="G95" s="746"/>
      <c r="H95" s="746"/>
      <c r="I95" s="746"/>
    </row>
    <row r="96" spans="3:9" ht="12.75" customHeight="1" hidden="1">
      <c r="C96" s="746"/>
      <c r="D96" s="746"/>
      <c r="E96" s="746"/>
      <c r="F96" s="746"/>
      <c r="G96" s="746"/>
      <c r="H96" s="746"/>
      <c r="I96" s="746"/>
    </row>
    <row r="97" spans="3:9" ht="12.75" customHeight="1" hidden="1">
      <c r="C97" s="746"/>
      <c r="D97" s="746"/>
      <c r="E97" s="746"/>
      <c r="F97" s="746"/>
      <c r="G97" s="746"/>
      <c r="H97" s="746"/>
      <c r="I97" s="746"/>
    </row>
    <row r="98" spans="1:6" ht="12.75">
      <c r="A98" s="51"/>
      <c r="B98" s="673"/>
      <c r="C98" s="103"/>
      <c r="D98" s="103"/>
      <c r="E98" s="103"/>
      <c r="F98" s="103"/>
    </row>
    <row r="99" spans="1:9" ht="12.75" customHeight="1">
      <c r="A99" s="842" t="s">
        <v>662</v>
      </c>
      <c r="B99" s="828" t="s">
        <v>478</v>
      </c>
      <c r="C99" s="751"/>
      <c r="D99" s="51"/>
      <c r="E99" s="51"/>
      <c r="F99" s="51"/>
      <c r="G99" s="51"/>
      <c r="H99" s="51"/>
      <c r="I99" s="51"/>
    </row>
    <row r="100" spans="1:9" ht="12.75">
      <c r="A100" s="843"/>
      <c r="B100" s="829"/>
      <c r="C100" s="751"/>
      <c r="D100" s="51"/>
      <c r="E100" s="51"/>
      <c r="F100" s="51"/>
      <c r="G100" s="51"/>
      <c r="H100" s="51"/>
      <c r="I100" s="51"/>
    </row>
    <row r="101" spans="1:9" ht="12.75">
      <c r="A101" s="844"/>
      <c r="B101" s="830"/>
      <c r="C101" s="751"/>
      <c r="D101" s="51"/>
      <c r="E101" s="51"/>
      <c r="F101" s="51"/>
      <c r="G101" s="51"/>
      <c r="H101" s="51"/>
      <c r="I101" s="51"/>
    </row>
    <row r="102" spans="1:9" ht="12.75">
      <c r="A102" s="752" t="s">
        <v>658</v>
      </c>
      <c r="B102" s="72"/>
      <c r="C102" s="751"/>
      <c r="D102" s="51"/>
      <c r="E102" s="51"/>
      <c r="F102" s="51"/>
      <c r="G102" s="51"/>
      <c r="H102" s="51"/>
      <c r="I102" s="51"/>
    </row>
    <row r="103" spans="1:9" ht="12.75">
      <c r="A103" s="752" t="s">
        <v>659</v>
      </c>
      <c r="B103" s="72"/>
      <c r="C103" s="751"/>
      <c r="D103" s="51"/>
      <c r="E103" s="51"/>
      <c r="F103" s="51"/>
      <c r="G103" s="51"/>
      <c r="H103" s="51"/>
      <c r="I103" s="51"/>
    </row>
    <row r="104" spans="1:9" ht="12.75">
      <c r="A104" s="752" t="s">
        <v>660</v>
      </c>
      <c r="B104" s="72"/>
      <c r="C104" s="751"/>
      <c r="D104" s="51"/>
      <c r="E104" s="51"/>
      <c r="F104" s="51"/>
      <c r="G104" s="51"/>
      <c r="H104" s="51"/>
      <c r="I104" s="51"/>
    </row>
    <row r="105" spans="1:9" ht="12.75">
      <c r="A105" s="753" t="s">
        <v>661</v>
      </c>
      <c r="B105" s="143"/>
      <c r="C105" s="751"/>
      <c r="D105" s="51"/>
      <c r="E105" s="51"/>
      <c r="F105" s="51"/>
      <c r="G105" s="51"/>
      <c r="H105" s="51"/>
      <c r="I105" s="51"/>
    </row>
    <row r="106" spans="1:3" ht="12.75">
      <c r="A106" s="754"/>
      <c r="B106" s="755"/>
      <c r="C106" s="51"/>
    </row>
    <row r="107" spans="1:3" ht="12.75" customHeight="1" hidden="1">
      <c r="A107" s="754"/>
      <c r="B107" s="755"/>
      <c r="C107" s="51"/>
    </row>
    <row r="108" spans="1:3" ht="12.75" customHeight="1" hidden="1">
      <c r="A108" s="754"/>
      <c r="B108" s="755"/>
      <c r="C108" s="51"/>
    </row>
    <row r="109" spans="1:3" ht="12.75" customHeight="1" hidden="1">
      <c r="A109" s="754"/>
      <c r="B109" s="755"/>
      <c r="C109" s="51"/>
    </row>
    <row r="110" spans="1:3" ht="12.75" customHeight="1" hidden="1">
      <c r="A110" s="754"/>
      <c r="B110" s="755"/>
      <c r="C110" s="51"/>
    </row>
    <row r="111" spans="1:3" ht="12.75" customHeight="1" hidden="1">
      <c r="A111" s="754"/>
      <c r="B111" s="755"/>
      <c r="C111" s="51"/>
    </row>
    <row r="112" spans="1:7" ht="12.75" customHeight="1" hidden="1">
      <c r="A112" s="756"/>
      <c r="B112" s="756"/>
      <c r="C112" s="756"/>
      <c r="D112" s="756"/>
      <c r="E112" s="756"/>
      <c r="F112" s="756"/>
      <c r="G112" s="51"/>
    </row>
    <row r="113" spans="1:4" ht="12.75" customHeight="1">
      <c r="A113" s="845" t="s">
        <v>663</v>
      </c>
      <c r="B113" s="834" t="s">
        <v>156</v>
      </c>
      <c r="C113" s="835"/>
      <c r="D113" s="751"/>
    </row>
    <row r="114" spans="1:4" ht="12.75" customHeight="1">
      <c r="A114" s="846"/>
      <c r="B114" s="757" t="s">
        <v>151</v>
      </c>
      <c r="C114" s="757" t="s">
        <v>152</v>
      </c>
      <c r="D114" s="751"/>
    </row>
    <row r="115" spans="1:4" ht="12.75">
      <c r="A115" s="758" t="s">
        <v>666</v>
      </c>
      <c r="B115" s="759">
        <v>367042.54</v>
      </c>
      <c r="C115" s="759">
        <v>3939.26</v>
      </c>
      <c r="D115" s="751"/>
    </row>
    <row r="116" spans="1:4" ht="12.75">
      <c r="A116" s="752" t="s">
        <v>667</v>
      </c>
      <c r="B116" s="734">
        <v>1254932565.17</v>
      </c>
      <c r="C116" s="734">
        <v>1325487768.27</v>
      </c>
      <c r="D116" s="751"/>
    </row>
    <row r="117" spans="1:4" ht="12.75">
      <c r="A117" s="760" t="s">
        <v>668</v>
      </c>
      <c r="B117" s="761">
        <v>179140861.03</v>
      </c>
      <c r="C117" s="761">
        <v>199894891.03</v>
      </c>
      <c r="D117" s="751"/>
    </row>
    <row r="118" spans="1:4" ht="12.75" customHeight="1" hidden="1">
      <c r="A118" s="752"/>
      <c r="B118" s="762"/>
      <c r="C118" s="762"/>
      <c r="D118" s="51"/>
    </row>
    <row r="119" spans="1:4" ht="12.75" customHeight="1" hidden="1">
      <c r="A119" s="752"/>
      <c r="B119" s="762"/>
      <c r="C119" s="762"/>
      <c r="D119" s="51"/>
    </row>
    <row r="120" spans="1:4" ht="12.75" customHeight="1" hidden="1">
      <c r="A120" s="752"/>
      <c r="B120" s="762"/>
      <c r="C120" s="762"/>
      <c r="D120" s="51"/>
    </row>
    <row r="121" spans="1:4" ht="12.75" customHeight="1" hidden="1">
      <c r="A121" s="752"/>
      <c r="B121" s="762"/>
      <c r="C121" s="762"/>
      <c r="D121" s="51"/>
    </row>
    <row r="122" spans="1:4" ht="12.75" customHeight="1" hidden="1">
      <c r="A122" s="752"/>
      <c r="B122" s="762"/>
      <c r="C122" s="762"/>
      <c r="D122" s="51"/>
    </row>
    <row r="123" spans="1:4" ht="12.75">
      <c r="A123" s="752"/>
      <c r="B123" s="762"/>
      <c r="C123" s="762"/>
      <c r="D123" s="51"/>
    </row>
    <row r="124" spans="1:5" ht="12.75">
      <c r="A124" s="727"/>
      <c r="B124" s="828" t="s">
        <v>467</v>
      </c>
      <c r="C124" s="836" t="s">
        <v>197</v>
      </c>
      <c r="D124" s="834" t="s">
        <v>72</v>
      </c>
      <c r="E124" s="835"/>
    </row>
    <row r="125" spans="1:5" ht="12.75">
      <c r="A125" s="96" t="s">
        <v>649</v>
      </c>
      <c r="B125" s="829"/>
      <c r="C125" s="837"/>
      <c r="D125" s="729" t="str">
        <f>D19</f>
        <v>Até o Bimestre</v>
      </c>
      <c r="E125" s="730" t="str">
        <f>E19</f>
        <v>Até o  Bimestre</v>
      </c>
    </row>
    <row r="126" spans="1:5" ht="12.75">
      <c r="A126" s="731"/>
      <c r="B126" s="830"/>
      <c r="C126" s="838"/>
      <c r="D126" s="732" t="s">
        <v>151</v>
      </c>
      <c r="E126" s="733" t="s">
        <v>152</v>
      </c>
    </row>
    <row r="127" spans="1:5" ht="12.75">
      <c r="A127" s="86" t="s">
        <v>906</v>
      </c>
      <c r="B127" s="763">
        <f>B128+B137+B146+B150+B151</f>
        <v>0</v>
      </c>
      <c r="C127" s="763">
        <f>C128+C137+C146+C150+C151</f>
        <v>0</v>
      </c>
      <c r="D127" s="763">
        <f>D128+D137+D146+D150+D151</f>
        <v>0</v>
      </c>
      <c r="E127" s="764">
        <f>E128+E137+E146+E150+E151</f>
        <v>0</v>
      </c>
    </row>
    <row r="128" spans="1:5" ht="12.75">
      <c r="A128" s="87" t="s">
        <v>87</v>
      </c>
      <c r="B128" s="763">
        <f>B129+B133</f>
        <v>0</v>
      </c>
      <c r="C128" s="763">
        <f>C129+C133</f>
        <v>0</v>
      </c>
      <c r="D128" s="763">
        <f>D129+D133</f>
        <v>0</v>
      </c>
      <c r="E128" s="765">
        <f>E129+E133</f>
        <v>0</v>
      </c>
    </row>
    <row r="129" spans="1:5" ht="12.75">
      <c r="A129" s="87" t="s">
        <v>283</v>
      </c>
      <c r="B129" s="763">
        <f>SUM(B130:B132)</f>
        <v>0</v>
      </c>
      <c r="C129" s="763">
        <f>SUM(C130:C132)</f>
        <v>0</v>
      </c>
      <c r="D129" s="763">
        <f>SUM(D130:D132)</f>
        <v>0</v>
      </c>
      <c r="E129" s="765">
        <f>SUM(E130:E132)</f>
        <v>0</v>
      </c>
    </row>
    <row r="130" spans="1:5" ht="12.75">
      <c r="A130" s="87" t="s">
        <v>88</v>
      </c>
      <c r="B130" s="763"/>
      <c r="C130" s="763"/>
      <c r="D130" s="763"/>
      <c r="E130" s="765"/>
    </row>
    <row r="131" spans="1:5" ht="12.75">
      <c r="A131" s="87" t="s">
        <v>89</v>
      </c>
      <c r="B131" s="763"/>
      <c r="C131" s="763"/>
      <c r="D131" s="763"/>
      <c r="E131" s="765"/>
    </row>
    <row r="132" spans="1:5" ht="12.75">
      <c r="A132" s="87" t="s">
        <v>90</v>
      </c>
      <c r="B132" s="763"/>
      <c r="C132" s="763"/>
      <c r="D132" s="763"/>
      <c r="E132" s="765"/>
    </row>
    <row r="133" spans="1:5" ht="12.75">
      <c r="A133" s="87" t="s">
        <v>284</v>
      </c>
      <c r="B133" s="763">
        <f>SUM(B134:B136)</f>
        <v>0</v>
      </c>
      <c r="C133" s="763">
        <f>SUM(C134:C136)</f>
        <v>0</v>
      </c>
      <c r="D133" s="763">
        <f>SUM(D134:D136)</f>
        <v>0</v>
      </c>
      <c r="E133" s="765">
        <f>SUM(E134:E136)</f>
        <v>0</v>
      </c>
    </row>
    <row r="134" spans="1:5" ht="12.75">
      <c r="A134" s="87" t="s">
        <v>91</v>
      </c>
      <c r="B134" s="763"/>
      <c r="C134" s="763"/>
      <c r="D134" s="763"/>
      <c r="E134" s="765"/>
    </row>
    <row r="135" spans="1:5" ht="12.75">
      <c r="A135" s="87" t="s">
        <v>92</v>
      </c>
      <c r="B135" s="763"/>
      <c r="C135" s="763"/>
      <c r="D135" s="763"/>
      <c r="E135" s="765"/>
    </row>
    <row r="136" spans="1:5" ht="12.75">
      <c r="A136" s="87" t="s">
        <v>90</v>
      </c>
      <c r="B136" s="763"/>
      <c r="C136" s="763"/>
      <c r="D136" s="763"/>
      <c r="E136" s="765"/>
    </row>
    <row r="137" spans="1:5" ht="12.75">
      <c r="A137" s="87" t="s">
        <v>646</v>
      </c>
      <c r="B137" s="763">
        <f>B138+B142</f>
        <v>0</v>
      </c>
      <c r="C137" s="763">
        <f>C138+C142</f>
        <v>0</v>
      </c>
      <c r="D137" s="763">
        <f>D138+D142</f>
        <v>0</v>
      </c>
      <c r="E137" s="765">
        <f>E138+E142</f>
        <v>0</v>
      </c>
    </row>
    <row r="138" spans="1:5" ht="12.75">
      <c r="A138" s="87" t="s">
        <v>283</v>
      </c>
      <c r="B138" s="763">
        <f>SUM(B139:B141)</f>
        <v>0</v>
      </c>
      <c r="C138" s="763">
        <f>SUM(C139:C141)</f>
        <v>0</v>
      </c>
      <c r="D138" s="763">
        <f>SUM(D139:D141)</f>
        <v>0</v>
      </c>
      <c r="E138" s="765">
        <f>SUM(E139:E141)</f>
        <v>0</v>
      </c>
    </row>
    <row r="139" spans="1:5" ht="12.75">
      <c r="A139" s="87" t="s">
        <v>88</v>
      </c>
      <c r="B139" s="763"/>
      <c r="C139" s="763"/>
      <c r="D139" s="763"/>
      <c r="E139" s="765"/>
    </row>
    <row r="140" spans="1:5" ht="12.75">
      <c r="A140" s="87" t="s">
        <v>89</v>
      </c>
      <c r="B140" s="763"/>
      <c r="C140" s="763"/>
      <c r="D140" s="763"/>
      <c r="E140" s="765"/>
    </row>
    <row r="141" spans="1:5" ht="12.75">
      <c r="A141" s="87" t="s">
        <v>90</v>
      </c>
      <c r="B141" s="763"/>
      <c r="C141" s="763"/>
      <c r="D141" s="763"/>
      <c r="E141" s="765"/>
    </row>
    <row r="142" spans="1:5" ht="12.75">
      <c r="A142" s="87" t="s">
        <v>284</v>
      </c>
      <c r="B142" s="763">
        <f>SUM(B143:B145)</f>
        <v>0</v>
      </c>
      <c r="C142" s="763">
        <f>SUM(C143:C145)</f>
        <v>0</v>
      </c>
      <c r="D142" s="763">
        <f>SUM(D143:D145)</f>
        <v>0</v>
      </c>
      <c r="E142" s="765">
        <f>SUM(E143:E145)</f>
        <v>0</v>
      </c>
    </row>
    <row r="143" spans="1:5" ht="12.75">
      <c r="A143" s="87" t="s">
        <v>91</v>
      </c>
      <c r="B143" s="763"/>
      <c r="C143" s="763"/>
      <c r="D143" s="763"/>
      <c r="E143" s="765"/>
    </row>
    <row r="144" spans="1:5" ht="12.75">
      <c r="A144" s="87" t="s">
        <v>92</v>
      </c>
      <c r="B144" s="763"/>
      <c r="C144" s="763"/>
      <c r="D144" s="763"/>
      <c r="E144" s="765"/>
    </row>
    <row r="145" spans="1:5" ht="12.75">
      <c r="A145" s="87" t="s">
        <v>90</v>
      </c>
      <c r="B145" s="763"/>
      <c r="C145" s="763"/>
      <c r="D145" s="763"/>
      <c r="E145" s="765"/>
    </row>
    <row r="146" spans="1:5" ht="12.75">
      <c r="A146" s="87" t="s">
        <v>310</v>
      </c>
      <c r="B146" s="763">
        <f>SUM(B147:B149)</f>
        <v>0</v>
      </c>
      <c r="C146" s="763">
        <f>SUM(C147:C149)</f>
        <v>0</v>
      </c>
      <c r="D146" s="763">
        <f>SUM(D147:D149)</f>
        <v>0</v>
      </c>
      <c r="E146" s="765">
        <f>SUM(E147:E149)</f>
        <v>0</v>
      </c>
    </row>
    <row r="147" spans="1:5" ht="12.75">
      <c r="A147" s="87" t="s">
        <v>13</v>
      </c>
      <c r="B147" s="763"/>
      <c r="C147" s="763"/>
      <c r="D147" s="763"/>
      <c r="E147" s="765"/>
    </row>
    <row r="148" spans="1:5" ht="12.75">
      <c r="A148" s="87" t="s">
        <v>14</v>
      </c>
      <c r="B148" s="763"/>
      <c r="C148" s="763"/>
      <c r="D148" s="763"/>
      <c r="E148" s="765"/>
    </row>
    <row r="149" spans="1:5" ht="12.75">
      <c r="A149" s="87" t="s">
        <v>15</v>
      </c>
      <c r="B149" s="763"/>
      <c r="C149" s="763"/>
      <c r="D149" s="763"/>
      <c r="E149" s="765"/>
    </row>
    <row r="150" spans="1:5" ht="12.75">
      <c r="A150" s="87" t="s">
        <v>185</v>
      </c>
      <c r="B150" s="763"/>
      <c r="C150" s="763"/>
      <c r="D150" s="763"/>
      <c r="E150" s="765"/>
    </row>
    <row r="151" spans="1:5" ht="12.75">
      <c r="A151" s="87" t="s">
        <v>285</v>
      </c>
      <c r="B151" s="763">
        <f>SUM(B152:B153)</f>
        <v>0</v>
      </c>
      <c r="C151" s="763">
        <f>SUM(C152:C153)</f>
        <v>0</v>
      </c>
      <c r="D151" s="763">
        <f>SUM(D152:D153)</f>
        <v>0</v>
      </c>
      <c r="E151" s="765">
        <f>SUM(E152:E153)</f>
        <v>0</v>
      </c>
    </row>
    <row r="152" spans="1:5" ht="12.75">
      <c r="A152" s="87" t="s">
        <v>186</v>
      </c>
      <c r="B152" s="763"/>
      <c r="C152" s="763"/>
      <c r="D152" s="763"/>
      <c r="E152" s="765"/>
    </row>
    <row r="153" spans="1:5" ht="12.75">
      <c r="A153" s="87" t="s">
        <v>93</v>
      </c>
      <c r="B153" s="763"/>
      <c r="C153" s="763"/>
      <c r="D153" s="763"/>
      <c r="E153" s="765"/>
    </row>
    <row r="154" spans="1:5" ht="12.75">
      <c r="A154" s="87" t="s">
        <v>908</v>
      </c>
      <c r="B154" s="763">
        <f>SUM(B155:B157)</f>
        <v>0</v>
      </c>
      <c r="C154" s="763">
        <f>SUM(C155:C157)</f>
        <v>0</v>
      </c>
      <c r="D154" s="763">
        <f>SUM(D155:D157)</f>
        <v>0</v>
      </c>
      <c r="E154" s="765">
        <f>SUM(E155:E157)</f>
        <v>0</v>
      </c>
    </row>
    <row r="155" spans="1:5" ht="12.75">
      <c r="A155" s="87" t="s">
        <v>85</v>
      </c>
      <c r="B155" s="763"/>
      <c r="C155" s="763"/>
      <c r="D155" s="763"/>
      <c r="E155" s="765"/>
    </row>
    <row r="156" spans="1:5" ht="12.75">
      <c r="A156" s="87" t="s">
        <v>187</v>
      </c>
      <c r="B156" s="763"/>
      <c r="C156" s="763"/>
      <c r="D156" s="763"/>
      <c r="E156" s="765"/>
    </row>
    <row r="157" spans="1:5" ht="12.75">
      <c r="A157" s="87" t="s">
        <v>286</v>
      </c>
      <c r="B157" s="763"/>
      <c r="C157" s="763"/>
      <c r="D157" s="763"/>
      <c r="E157" s="765"/>
    </row>
    <row r="158" spans="1:5" ht="12.75">
      <c r="A158" s="737" t="s">
        <v>907</v>
      </c>
      <c r="B158" s="116">
        <f>B127+B154</f>
        <v>0</v>
      </c>
      <c r="C158" s="116">
        <f>C127+C154</f>
        <v>0</v>
      </c>
      <c r="D158" s="116">
        <f>D127+D154</f>
        <v>0</v>
      </c>
      <c r="E158" s="766">
        <f>E127+E154</f>
        <v>0</v>
      </c>
    </row>
    <row r="159" spans="1:4" ht="12.75" customHeight="1" hidden="1">
      <c r="A159" s="752"/>
      <c r="B159" s="762"/>
      <c r="C159" s="762"/>
      <c r="D159" s="51"/>
    </row>
    <row r="160" spans="1:4" ht="12.75" customHeight="1" hidden="1">
      <c r="A160" s="752"/>
      <c r="B160" s="762"/>
      <c r="C160" s="762"/>
      <c r="D160" s="51"/>
    </row>
    <row r="161" spans="1:4" ht="12.75" customHeight="1" hidden="1">
      <c r="A161" s="752"/>
      <c r="B161" s="762"/>
      <c r="C161" s="762"/>
      <c r="D161" s="51"/>
    </row>
    <row r="162" spans="1:4" ht="12.75" customHeight="1" hidden="1">
      <c r="A162" s="752"/>
      <c r="B162" s="762"/>
      <c r="C162" s="762"/>
      <c r="D162" s="51"/>
    </row>
    <row r="163" spans="1:4" ht="12.75" customHeight="1" hidden="1">
      <c r="A163" s="752"/>
      <c r="B163" s="762"/>
      <c r="C163" s="762"/>
      <c r="D163" s="51"/>
    </row>
    <row r="164" spans="1:4" ht="12.75">
      <c r="A164" s="752"/>
      <c r="B164" s="762"/>
      <c r="C164" s="762"/>
      <c r="D164" s="51"/>
    </row>
    <row r="165" spans="1:9" ht="12.75">
      <c r="A165" s="839" t="s">
        <v>652</v>
      </c>
      <c r="B165" s="828" t="s">
        <v>559</v>
      </c>
      <c r="C165" s="831" t="s">
        <v>198</v>
      </c>
      <c r="D165" s="834" t="s">
        <v>104</v>
      </c>
      <c r="E165" s="835"/>
      <c r="F165" s="834" t="s">
        <v>105</v>
      </c>
      <c r="G165" s="835"/>
      <c r="H165" s="834" t="s">
        <v>320</v>
      </c>
      <c r="I165" s="835"/>
    </row>
    <row r="166" spans="1:9" ht="12.75">
      <c r="A166" s="840"/>
      <c r="B166" s="829"/>
      <c r="C166" s="832"/>
      <c r="D166" s="729" t="str">
        <f>D61</f>
        <v>Até o  Bimestre</v>
      </c>
      <c r="E166" s="729" t="str">
        <f>E61</f>
        <v>Até o  Bimestre</v>
      </c>
      <c r="F166" s="729" t="str">
        <f>D166</f>
        <v>Até o  Bimestre</v>
      </c>
      <c r="G166" s="729" t="str">
        <f>E166</f>
        <v>Até o  Bimestre</v>
      </c>
      <c r="H166" s="730" t="s">
        <v>627</v>
      </c>
      <c r="I166" s="730" t="s">
        <v>626</v>
      </c>
    </row>
    <row r="167" spans="1:9" ht="12.75">
      <c r="A167" s="841"/>
      <c r="B167" s="830"/>
      <c r="C167" s="833"/>
      <c r="D167" s="732" t="s">
        <v>151</v>
      </c>
      <c r="E167" s="732" t="s">
        <v>152</v>
      </c>
      <c r="F167" s="732" t="s">
        <v>151</v>
      </c>
      <c r="G167" s="732" t="s">
        <v>152</v>
      </c>
      <c r="H167" s="733" t="s">
        <v>628</v>
      </c>
      <c r="I167" s="733" t="s">
        <v>152</v>
      </c>
    </row>
    <row r="168" spans="1:9" ht="12.75">
      <c r="A168" s="739" t="s">
        <v>650</v>
      </c>
      <c r="B168" s="763">
        <f aca="true" t="shared" si="4" ref="B168:I168">SUM(B169:B171)</f>
        <v>0</v>
      </c>
      <c r="C168" s="763">
        <f t="shared" si="4"/>
        <v>0</v>
      </c>
      <c r="D168" s="763">
        <f t="shared" si="4"/>
        <v>0</v>
      </c>
      <c r="E168" s="763">
        <f t="shared" si="4"/>
        <v>0</v>
      </c>
      <c r="F168" s="763">
        <f t="shared" si="4"/>
        <v>0</v>
      </c>
      <c r="G168" s="763">
        <f t="shared" si="4"/>
        <v>0</v>
      </c>
      <c r="H168" s="763">
        <f t="shared" si="4"/>
        <v>0</v>
      </c>
      <c r="I168" s="764">
        <f t="shared" si="4"/>
        <v>0</v>
      </c>
    </row>
    <row r="169" spans="1:9" ht="12.75">
      <c r="A169" s="739" t="s">
        <v>287</v>
      </c>
      <c r="B169" s="763"/>
      <c r="C169" s="763"/>
      <c r="D169" s="763"/>
      <c r="E169" s="763"/>
      <c r="F169" s="763"/>
      <c r="G169" s="763"/>
      <c r="H169" s="763"/>
      <c r="I169" s="765"/>
    </row>
    <row r="170" spans="1:9" ht="12.75">
      <c r="A170" s="739" t="s">
        <v>288</v>
      </c>
      <c r="B170" s="763"/>
      <c r="C170" s="763"/>
      <c r="D170" s="763"/>
      <c r="E170" s="763"/>
      <c r="F170" s="763"/>
      <c r="G170" s="763"/>
      <c r="H170" s="763"/>
      <c r="I170" s="765"/>
    </row>
    <row r="171" spans="1:9" ht="12.75">
      <c r="A171" s="739" t="s">
        <v>289</v>
      </c>
      <c r="B171" s="763"/>
      <c r="C171" s="763"/>
      <c r="D171" s="763"/>
      <c r="E171" s="763"/>
      <c r="F171" s="763"/>
      <c r="G171" s="763"/>
      <c r="H171" s="763"/>
      <c r="I171" s="765"/>
    </row>
    <row r="172" spans="1:9" ht="12.75">
      <c r="A172" s="739" t="s">
        <v>651</v>
      </c>
      <c r="B172" s="763">
        <f aca="true" t="shared" si="5" ref="B172:I172">SUM(B173:B175)</f>
        <v>0</v>
      </c>
      <c r="C172" s="763">
        <f t="shared" si="5"/>
        <v>0</v>
      </c>
      <c r="D172" s="763">
        <f t="shared" si="5"/>
        <v>0</v>
      </c>
      <c r="E172" s="763">
        <f t="shared" si="5"/>
        <v>0</v>
      </c>
      <c r="F172" s="763">
        <f t="shared" si="5"/>
        <v>0</v>
      </c>
      <c r="G172" s="763">
        <f t="shared" si="5"/>
        <v>0</v>
      </c>
      <c r="H172" s="763">
        <f t="shared" si="5"/>
        <v>0</v>
      </c>
      <c r="I172" s="765">
        <f t="shared" si="5"/>
        <v>0</v>
      </c>
    </row>
    <row r="173" spans="1:9" ht="12.75">
      <c r="A173" s="739" t="s">
        <v>290</v>
      </c>
      <c r="B173" s="763"/>
      <c r="C173" s="763"/>
      <c r="D173" s="763"/>
      <c r="E173" s="763"/>
      <c r="F173" s="763"/>
      <c r="G173" s="763"/>
      <c r="H173" s="763"/>
      <c r="I173" s="765"/>
    </row>
    <row r="174" spans="1:9" ht="12.75">
      <c r="A174" s="739" t="s">
        <v>288</v>
      </c>
      <c r="B174" s="763"/>
      <c r="C174" s="763"/>
      <c r="D174" s="763"/>
      <c r="E174" s="763"/>
      <c r="F174" s="763"/>
      <c r="G174" s="763"/>
      <c r="H174" s="763"/>
      <c r="I174" s="765"/>
    </row>
    <row r="175" spans="1:9" ht="12.75">
      <c r="A175" s="739" t="s">
        <v>289</v>
      </c>
      <c r="B175" s="763"/>
      <c r="C175" s="763"/>
      <c r="D175" s="763"/>
      <c r="E175" s="763"/>
      <c r="F175" s="763"/>
      <c r="G175" s="763"/>
      <c r="H175" s="763"/>
      <c r="I175" s="765"/>
    </row>
    <row r="176" spans="1:9" ht="12.75">
      <c r="A176" s="739" t="s">
        <v>291</v>
      </c>
      <c r="B176" s="763">
        <f aca="true" t="shared" si="6" ref="B176:I176">SUM(B177:B178)</f>
        <v>0</v>
      </c>
      <c r="C176" s="763">
        <f t="shared" si="6"/>
        <v>0</v>
      </c>
      <c r="D176" s="763">
        <f t="shared" si="6"/>
        <v>0</v>
      </c>
      <c r="E176" s="763">
        <f t="shared" si="6"/>
        <v>0</v>
      </c>
      <c r="F176" s="763">
        <f t="shared" si="6"/>
        <v>0</v>
      </c>
      <c r="G176" s="763">
        <f t="shared" si="6"/>
        <v>0</v>
      </c>
      <c r="H176" s="763">
        <f t="shared" si="6"/>
        <v>0</v>
      </c>
      <c r="I176" s="765">
        <f t="shared" si="6"/>
        <v>0</v>
      </c>
    </row>
    <row r="177" spans="1:9" ht="12.75">
      <c r="A177" s="739" t="s">
        <v>188</v>
      </c>
      <c r="B177" s="763"/>
      <c r="C177" s="763"/>
      <c r="D177" s="763"/>
      <c r="E177" s="763"/>
      <c r="F177" s="763"/>
      <c r="G177" s="763"/>
      <c r="H177" s="763"/>
      <c r="I177" s="765"/>
    </row>
    <row r="178" spans="1:9" ht="12.75" customHeight="1">
      <c r="A178" s="739" t="s">
        <v>37</v>
      </c>
      <c r="B178" s="763"/>
      <c r="C178" s="763"/>
      <c r="D178" s="763"/>
      <c r="E178" s="763"/>
      <c r="F178" s="763"/>
      <c r="G178" s="763"/>
      <c r="H178" s="763"/>
      <c r="I178" s="767"/>
    </row>
    <row r="179" spans="1:9" ht="12.75">
      <c r="A179" s="741" t="s">
        <v>909</v>
      </c>
      <c r="B179" s="116">
        <f aca="true" t="shared" si="7" ref="B179:I179">B168+B172+B176</f>
        <v>0</v>
      </c>
      <c r="C179" s="116">
        <f t="shared" si="7"/>
        <v>0</v>
      </c>
      <c r="D179" s="116">
        <f t="shared" si="7"/>
        <v>0</v>
      </c>
      <c r="E179" s="116">
        <f t="shared" si="7"/>
        <v>0</v>
      </c>
      <c r="F179" s="116">
        <f t="shared" si="7"/>
        <v>0</v>
      </c>
      <c r="G179" s="116">
        <f t="shared" si="7"/>
        <v>0</v>
      </c>
      <c r="H179" s="116">
        <f t="shared" si="7"/>
        <v>0</v>
      </c>
      <c r="I179" s="766">
        <f t="shared" si="7"/>
        <v>0</v>
      </c>
    </row>
    <row r="180" spans="1:9" ht="12.75">
      <c r="A180" s="744" t="s">
        <v>910</v>
      </c>
      <c r="B180" s="116">
        <f>B158-B179</f>
        <v>0</v>
      </c>
      <c r="C180" s="116">
        <f>C158-C179</f>
        <v>0</v>
      </c>
      <c r="D180" s="116">
        <f>D158-D179</f>
        <v>0</v>
      </c>
      <c r="E180" s="116">
        <f>E158-E179</f>
        <v>0</v>
      </c>
      <c r="F180" s="116">
        <f>D158-F179</f>
        <v>0</v>
      </c>
      <c r="G180" s="116">
        <f>E158-G179</f>
        <v>0</v>
      </c>
      <c r="H180" s="117"/>
      <c r="I180" s="117"/>
    </row>
    <row r="181" spans="1:4" ht="12.75" customHeight="1" hidden="1">
      <c r="A181" s="752"/>
      <c r="B181" s="762"/>
      <c r="C181" s="762"/>
      <c r="D181" s="51"/>
    </row>
    <row r="182" spans="1:4" ht="12.75" customHeight="1" hidden="1">
      <c r="A182" s="752"/>
      <c r="B182" s="762"/>
      <c r="C182" s="762"/>
      <c r="D182" s="51"/>
    </row>
    <row r="183" spans="1:4" ht="12.75" customHeight="1" hidden="1">
      <c r="A183" s="752"/>
      <c r="B183" s="762"/>
      <c r="C183" s="762"/>
      <c r="D183" s="51"/>
    </row>
    <row r="184" spans="1:4" ht="12.75" customHeight="1" hidden="1">
      <c r="A184" s="752"/>
      <c r="B184" s="762"/>
      <c r="C184" s="762"/>
      <c r="D184" s="51"/>
    </row>
    <row r="185" spans="1:4" ht="12.75">
      <c r="A185" s="752"/>
      <c r="B185" s="762"/>
      <c r="C185" s="762"/>
      <c r="D185" s="51"/>
    </row>
    <row r="186" spans="1:4" ht="12.75" customHeight="1">
      <c r="A186" s="842" t="s">
        <v>669</v>
      </c>
      <c r="B186" s="828" t="s">
        <v>478</v>
      </c>
      <c r="C186" s="762"/>
      <c r="D186" s="51"/>
    </row>
    <row r="187" spans="1:4" ht="12.75">
      <c r="A187" s="843"/>
      <c r="B187" s="829"/>
      <c r="C187" s="762"/>
      <c r="D187" s="51"/>
    </row>
    <row r="188" spans="1:4" ht="12.75" customHeight="1">
      <c r="A188" s="844"/>
      <c r="B188" s="830"/>
      <c r="C188" s="762"/>
      <c r="D188" s="51"/>
    </row>
    <row r="189" spans="1:4" ht="12.75" customHeight="1">
      <c r="A189" s="768" t="s">
        <v>664</v>
      </c>
      <c r="B189" s="764"/>
      <c r="C189" s="762"/>
      <c r="D189" s="51"/>
    </row>
    <row r="190" spans="1:9" ht="12.75">
      <c r="A190" s="769" t="s">
        <v>665</v>
      </c>
      <c r="B190" s="767"/>
      <c r="C190" s="770"/>
      <c r="D190" s="51"/>
      <c r="E190" s="51"/>
      <c r="F190" s="51"/>
      <c r="G190" s="51"/>
      <c r="H190" s="51"/>
      <c r="I190" s="51"/>
    </row>
    <row r="191" spans="1:9" ht="12.75" customHeight="1" hidden="1">
      <c r="A191" s="752"/>
      <c r="B191" s="771"/>
      <c r="C191" s="771"/>
      <c r="D191" s="51"/>
      <c r="E191" s="51"/>
      <c r="F191" s="51"/>
      <c r="G191" s="51"/>
      <c r="H191" s="51"/>
      <c r="I191" s="51"/>
    </row>
    <row r="192" spans="1:9" ht="12.75" customHeight="1" hidden="1">
      <c r="A192" s="752"/>
      <c r="B192" s="771"/>
      <c r="C192" s="771"/>
      <c r="D192" s="51"/>
      <c r="E192" s="51"/>
      <c r="F192" s="51"/>
      <c r="G192" s="51"/>
      <c r="H192" s="51"/>
      <c r="I192" s="51"/>
    </row>
    <row r="193" spans="1:9" ht="12.75" customHeight="1" hidden="1">
      <c r="A193" s="752"/>
      <c r="B193" s="771"/>
      <c r="C193" s="771"/>
      <c r="D193" s="51"/>
      <c r="E193" s="51"/>
      <c r="F193" s="51"/>
      <c r="G193" s="51"/>
      <c r="H193" s="51"/>
      <c r="I193" s="51"/>
    </row>
    <row r="194" spans="1:9" ht="12.75" customHeight="1" hidden="1">
      <c r="A194" s="752"/>
      <c r="B194" s="771"/>
      <c r="C194" s="771"/>
      <c r="D194" s="51"/>
      <c r="E194" s="51"/>
      <c r="F194" s="51"/>
      <c r="G194" s="51"/>
      <c r="H194" s="51"/>
      <c r="I194" s="51"/>
    </row>
    <row r="195" spans="1:9" s="51" customFormat="1" ht="12.75" customHeight="1" hidden="1">
      <c r="A195" s="772"/>
      <c r="B195" s="773"/>
      <c r="C195" s="773"/>
      <c r="D195" s="86"/>
      <c r="E195" s="86"/>
      <c r="F195" s="86"/>
      <c r="G195" s="86"/>
      <c r="H195" s="86"/>
      <c r="I195" s="86"/>
    </row>
    <row r="196" spans="1:9" s="51" customFormat="1" ht="12.75" customHeight="1">
      <c r="A196" s="772"/>
      <c r="B196" s="773"/>
      <c r="C196" s="773"/>
      <c r="D196" s="86"/>
      <c r="E196" s="86"/>
      <c r="F196" s="86"/>
      <c r="G196" s="86"/>
      <c r="H196" s="86"/>
      <c r="I196" s="86"/>
    </row>
    <row r="197" spans="1:9" s="51" customFormat="1" ht="12.75" customHeight="1">
      <c r="A197" s="727"/>
      <c r="B197" s="828" t="s">
        <v>467</v>
      </c>
      <c r="C197" s="836" t="s">
        <v>197</v>
      </c>
      <c r="D197" s="834" t="s">
        <v>72</v>
      </c>
      <c r="E197" s="835"/>
      <c r="F197" s="86"/>
      <c r="G197" s="86"/>
      <c r="H197" s="86"/>
      <c r="I197" s="86"/>
    </row>
    <row r="198" spans="1:9" s="51" customFormat="1" ht="12.75" customHeight="1">
      <c r="A198" s="96" t="s">
        <v>898</v>
      </c>
      <c r="B198" s="829"/>
      <c r="C198" s="837"/>
      <c r="D198" s="729" t="str">
        <f>D19</f>
        <v>Até o Bimestre</v>
      </c>
      <c r="E198" s="730" t="str">
        <f>E19</f>
        <v>Até o  Bimestre</v>
      </c>
      <c r="F198" s="86"/>
      <c r="G198" s="86"/>
      <c r="H198" s="86"/>
      <c r="I198" s="86"/>
    </row>
    <row r="199" spans="1:9" s="51" customFormat="1" ht="12.75" customHeight="1">
      <c r="A199" s="731"/>
      <c r="B199" s="830"/>
      <c r="C199" s="838"/>
      <c r="D199" s="732" t="s">
        <v>151</v>
      </c>
      <c r="E199" s="733" t="s">
        <v>152</v>
      </c>
      <c r="F199" s="86"/>
      <c r="G199" s="86"/>
      <c r="H199" s="86"/>
      <c r="I199" s="86"/>
    </row>
    <row r="200" spans="1:9" s="51" customFormat="1" ht="12.75" customHeight="1">
      <c r="A200" s="86" t="s">
        <v>7</v>
      </c>
      <c r="B200" s="763"/>
      <c r="C200" s="763"/>
      <c r="D200" s="763"/>
      <c r="E200" s="764"/>
      <c r="F200" s="86"/>
      <c r="G200" s="86"/>
      <c r="H200" s="86"/>
      <c r="I200" s="86"/>
    </row>
    <row r="201" spans="1:9" s="51" customFormat="1" ht="12.75" customHeight="1">
      <c r="A201" s="737" t="s">
        <v>911</v>
      </c>
      <c r="B201" s="116">
        <f>B200</f>
        <v>0</v>
      </c>
      <c r="C201" s="116">
        <f>C200</f>
        <v>0</v>
      </c>
      <c r="D201" s="116">
        <f>D200</f>
        <v>0</v>
      </c>
      <c r="E201" s="766">
        <f>E200</f>
        <v>0</v>
      </c>
      <c r="F201" s="86"/>
      <c r="G201" s="86"/>
      <c r="H201" s="86"/>
      <c r="I201" s="86"/>
    </row>
    <row r="202" spans="1:9" s="51" customFormat="1" ht="12.75" customHeight="1" hidden="1">
      <c r="A202" s="2"/>
      <c r="B202" s="18"/>
      <c r="C202" s="18"/>
      <c r="D202" s="18"/>
      <c r="E202" s="18"/>
      <c r="F202" s="86"/>
      <c r="G202" s="86"/>
      <c r="H202" s="86"/>
      <c r="I202" s="86"/>
    </row>
    <row r="203" spans="1:9" s="51" customFormat="1" ht="12.75" customHeight="1" hidden="1">
      <c r="A203" s="2"/>
      <c r="B203" s="18"/>
      <c r="C203" s="18"/>
      <c r="D203" s="18"/>
      <c r="E203" s="18"/>
      <c r="F203" s="86"/>
      <c r="G203" s="86"/>
      <c r="H203" s="86"/>
      <c r="I203" s="86"/>
    </row>
    <row r="204" spans="1:9" s="51" customFormat="1" ht="12.75" customHeight="1" hidden="1">
      <c r="A204" s="2"/>
      <c r="B204" s="18"/>
      <c r="C204" s="18"/>
      <c r="D204" s="18"/>
      <c r="E204" s="18"/>
      <c r="F204" s="86"/>
      <c r="G204" s="86"/>
      <c r="H204" s="86"/>
      <c r="I204" s="86"/>
    </row>
    <row r="205" spans="1:9" s="51" customFormat="1" ht="12.75" customHeight="1" hidden="1">
      <c r="A205" s="2"/>
      <c r="B205" s="18"/>
      <c r="C205" s="18"/>
      <c r="D205" s="18"/>
      <c r="E205" s="18"/>
      <c r="F205" s="86"/>
      <c r="G205" s="86"/>
      <c r="H205" s="86"/>
      <c r="I205" s="86"/>
    </row>
    <row r="206" spans="1:9" s="51" customFormat="1" ht="12.75" customHeight="1" hidden="1">
      <c r="A206" s="2"/>
      <c r="B206" s="18"/>
      <c r="C206" s="18"/>
      <c r="D206" s="18"/>
      <c r="E206" s="18"/>
      <c r="F206" s="86"/>
      <c r="G206" s="86"/>
      <c r="H206" s="86"/>
      <c r="I206" s="86"/>
    </row>
    <row r="207" spans="1:9" s="51" customFormat="1" ht="12.75" customHeight="1">
      <c r="A207" s="772"/>
      <c r="B207" s="773"/>
      <c r="C207" s="773"/>
      <c r="D207" s="86"/>
      <c r="E207" s="86"/>
      <c r="F207" s="86"/>
      <c r="G207" s="86"/>
      <c r="H207" s="86"/>
      <c r="I207" s="86"/>
    </row>
    <row r="208" spans="1:9" s="51" customFormat="1" ht="12.75" customHeight="1">
      <c r="A208" s="839" t="s">
        <v>899</v>
      </c>
      <c r="B208" s="828" t="s">
        <v>559</v>
      </c>
      <c r="C208" s="831" t="s">
        <v>198</v>
      </c>
      <c r="D208" s="834" t="s">
        <v>104</v>
      </c>
      <c r="E208" s="835"/>
      <c r="F208" s="834" t="s">
        <v>105</v>
      </c>
      <c r="G208" s="835"/>
      <c r="H208" s="834" t="s">
        <v>320</v>
      </c>
      <c r="I208" s="835"/>
    </row>
    <row r="209" spans="1:9" s="51" customFormat="1" ht="12.75" customHeight="1">
      <c r="A209" s="840"/>
      <c r="B209" s="829"/>
      <c r="C209" s="832"/>
      <c r="D209" s="729" t="str">
        <f>D61</f>
        <v>Até o  Bimestre</v>
      </c>
      <c r="E209" s="729" t="str">
        <f>E61</f>
        <v>Até o  Bimestre</v>
      </c>
      <c r="F209" s="729" t="str">
        <f>D209</f>
        <v>Até o  Bimestre</v>
      </c>
      <c r="G209" s="729" t="str">
        <f>E209</f>
        <v>Até o  Bimestre</v>
      </c>
      <c r="H209" s="730" t="s">
        <v>627</v>
      </c>
      <c r="I209" s="730" t="s">
        <v>626</v>
      </c>
    </row>
    <row r="210" spans="1:9" s="51" customFormat="1" ht="12.75" customHeight="1">
      <c r="A210" s="841"/>
      <c r="B210" s="830"/>
      <c r="C210" s="833"/>
      <c r="D210" s="732" t="s">
        <v>151</v>
      </c>
      <c r="E210" s="732" t="s">
        <v>152</v>
      </c>
      <c r="F210" s="732" t="s">
        <v>151</v>
      </c>
      <c r="G210" s="732" t="s">
        <v>152</v>
      </c>
      <c r="H210" s="733" t="s">
        <v>628</v>
      </c>
      <c r="I210" s="733" t="s">
        <v>152</v>
      </c>
    </row>
    <row r="211" spans="1:9" s="51" customFormat="1" ht="12.75" customHeight="1">
      <c r="A211" s="739" t="s">
        <v>900</v>
      </c>
      <c r="B211" s="763"/>
      <c r="C211" s="763"/>
      <c r="D211" s="763"/>
      <c r="E211" s="763"/>
      <c r="F211" s="763"/>
      <c r="G211" s="763"/>
      <c r="H211" s="763"/>
      <c r="I211" s="764"/>
    </row>
    <row r="212" spans="1:9" s="51" customFormat="1" ht="12.75" customHeight="1">
      <c r="A212" s="739" t="s">
        <v>901</v>
      </c>
      <c r="B212" s="763"/>
      <c r="C212" s="763"/>
      <c r="D212" s="763"/>
      <c r="E212" s="763"/>
      <c r="F212" s="763"/>
      <c r="G212" s="763"/>
      <c r="H212" s="763"/>
      <c r="I212" s="765"/>
    </row>
    <row r="213" spans="1:9" s="51" customFormat="1" ht="12.75" customHeight="1">
      <c r="A213" s="741" t="s">
        <v>902</v>
      </c>
      <c r="B213" s="116">
        <f aca="true" t="shared" si="8" ref="B213:I213">B211+B212</f>
        <v>0</v>
      </c>
      <c r="C213" s="116">
        <f t="shared" si="8"/>
        <v>0</v>
      </c>
      <c r="D213" s="116">
        <f t="shared" si="8"/>
        <v>0</v>
      </c>
      <c r="E213" s="116">
        <f t="shared" si="8"/>
        <v>0</v>
      </c>
      <c r="F213" s="116">
        <f t="shared" si="8"/>
        <v>0</v>
      </c>
      <c r="G213" s="116">
        <f t="shared" si="8"/>
        <v>0</v>
      </c>
      <c r="H213" s="116">
        <f t="shared" si="8"/>
        <v>0</v>
      </c>
      <c r="I213" s="766">
        <f t="shared" si="8"/>
        <v>0</v>
      </c>
    </row>
    <row r="214" spans="1:9" s="51" customFormat="1" ht="12.75" customHeight="1">
      <c r="A214" s="744" t="s">
        <v>903</v>
      </c>
      <c r="B214" s="116">
        <f>B201-B213</f>
        <v>0</v>
      </c>
      <c r="C214" s="116">
        <f>C201-C213</f>
        <v>0</v>
      </c>
      <c r="D214" s="116">
        <f>D201-D213</f>
        <v>0</v>
      </c>
      <c r="E214" s="116">
        <f>E201-E213</f>
        <v>0</v>
      </c>
      <c r="F214" s="116">
        <f>D201-F213</f>
        <v>0</v>
      </c>
      <c r="G214" s="116">
        <f>E201-G213</f>
        <v>0</v>
      </c>
      <c r="H214" s="117"/>
      <c r="I214" s="117"/>
    </row>
    <row r="215" spans="1:9" ht="14.25" customHeight="1">
      <c r="A215" s="827" t="s">
        <v>1080</v>
      </c>
      <c r="B215" s="827"/>
      <c r="C215" s="827"/>
      <c r="D215" s="827"/>
      <c r="E215" s="827"/>
      <c r="F215" s="827"/>
      <c r="G215" s="827"/>
      <c r="H215" s="827"/>
      <c r="I215" s="827"/>
    </row>
    <row r="216" s="51" customFormat="1" ht="11.25" customHeight="1"/>
    <row r="218" spans="1:9" ht="11.25" customHeight="1">
      <c r="A218" s="73" t="s">
        <v>1056</v>
      </c>
      <c r="B218" s="74"/>
      <c r="C218" s="73" t="s">
        <v>1058</v>
      </c>
      <c r="D218" s="77"/>
      <c r="E218" s="73"/>
      <c r="F218" s="75"/>
      <c r="G218" s="73" t="s">
        <v>1060</v>
      </c>
      <c r="H218" s="74"/>
      <c r="I218" s="77"/>
    </row>
    <row r="219" spans="1:9" ht="11.25" customHeight="1">
      <c r="A219" s="73" t="s">
        <v>1057</v>
      </c>
      <c r="B219" s="75"/>
      <c r="C219" s="73" t="s">
        <v>1059</v>
      </c>
      <c r="D219" s="77"/>
      <c r="E219" s="73"/>
      <c r="F219" s="75"/>
      <c r="G219" s="73" t="s">
        <v>1061</v>
      </c>
      <c r="H219" s="77"/>
      <c r="I219" s="74"/>
    </row>
    <row r="220" spans="1:9" ht="11.25" customHeight="1">
      <c r="A220" s="77"/>
      <c r="B220" s="77"/>
      <c r="C220" s="73" t="s">
        <v>1072</v>
      </c>
      <c r="D220" s="77"/>
      <c r="E220" s="73"/>
      <c r="F220" s="77"/>
      <c r="G220" s="73" t="s">
        <v>1073</v>
      </c>
      <c r="H220" s="77"/>
      <c r="I220" s="77"/>
    </row>
    <row r="222" spans="1:9" ht="11.25" customHeight="1">
      <c r="A222" s="678"/>
      <c r="B222" s="823"/>
      <c r="C222" s="824"/>
      <c r="D222" s="824"/>
      <c r="E222" s="824"/>
      <c r="F222" s="825"/>
      <c r="G222" s="826"/>
      <c r="H222" s="826"/>
      <c r="I222" s="826"/>
    </row>
  </sheetData>
  <sheetProtection/>
  <mergeCells count="39">
    <mergeCell ref="A60:A62"/>
    <mergeCell ref="A99:A101"/>
    <mergeCell ref="A113:A114"/>
    <mergeCell ref="F165:G165"/>
    <mergeCell ref="B60:B62"/>
    <mergeCell ref="C60:C62"/>
    <mergeCell ref="D165:E165"/>
    <mergeCell ref="F60:G60"/>
    <mergeCell ref="D60:E60"/>
    <mergeCell ref="B113:C113"/>
    <mergeCell ref="B124:B126"/>
    <mergeCell ref="B99:B101"/>
    <mergeCell ref="A186:A188"/>
    <mergeCell ref="B186:B188"/>
    <mergeCell ref="H165:I165"/>
    <mergeCell ref="A11:F11"/>
    <mergeCell ref="A13:F13"/>
    <mergeCell ref="A14:F14"/>
    <mergeCell ref="B18:B20"/>
    <mergeCell ref="C18:C20"/>
    <mergeCell ref="D18:E18"/>
    <mergeCell ref="H60:I60"/>
    <mergeCell ref="B197:B199"/>
    <mergeCell ref="C197:C199"/>
    <mergeCell ref="D197:E197"/>
    <mergeCell ref="A208:A210"/>
    <mergeCell ref="B208:B210"/>
    <mergeCell ref="C124:C126"/>
    <mergeCell ref="D124:E124"/>
    <mergeCell ref="A165:A167"/>
    <mergeCell ref="B222:E222"/>
    <mergeCell ref="F222:I222"/>
    <mergeCell ref="A215:I215"/>
    <mergeCell ref="B165:B167"/>
    <mergeCell ref="C165:C167"/>
    <mergeCell ref="C208:C210"/>
    <mergeCell ref="D208:E208"/>
    <mergeCell ref="F208:G208"/>
    <mergeCell ref="H208:I208"/>
  </mergeCells>
  <printOptions horizontalCentered="1"/>
  <pageMargins left="0.3937007874015748" right="0.3937007874015748" top="0.5905511811023623" bottom="0.5905511811023623" header="0" footer="0.196850393700787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9"/>
  <sheetViews>
    <sheetView showGridLines="0" zoomScalePageLayoutView="0" workbookViewId="0" topLeftCell="A1">
      <selection activeCell="A1" sqref="A1"/>
    </sheetView>
  </sheetViews>
  <sheetFormatPr defaultColWidth="16.7109375" defaultRowHeight="11.25" customHeight="1"/>
  <cols>
    <col min="1" max="1" width="56.28125" style="605" customWidth="1"/>
    <col min="2" max="2" width="16.7109375" style="605" customWidth="1"/>
    <col min="3" max="3" width="16.7109375" style="606" customWidth="1"/>
    <col min="4" max="8" width="16.7109375" style="605" customWidth="1"/>
    <col min="9" max="16384" width="16.7109375" style="605" customWidth="1"/>
  </cols>
  <sheetData>
    <row r="1" ht="12.75">
      <c r="A1" s="604"/>
    </row>
    <row r="2" ht="25.5" customHeight="1">
      <c r="A2" s="607" t="s">
        <v>1051</v>
      </c>
    </row>
    <row r="3" ht="15.75" customHeight="1">
      <c r="A3" s="608" t="s">
        <v>1052</v>
      </c>
    </row>
    <row r="4" ht="15.75" customHeight="1">
      <c r="A4" s="608" t="s">
        <v>1053</v>
      </c>
    </row>
    <row r="5" ht="15.75" customHeight="1">
      <c r="A5" s="608" t="s">
        <v>1054</v>
      </c>
    </row>
    <row r="6" ht="15.75">
      <c r="A6" s="42" t="s">
        <v>605</v>
      </c>
    </row>
    <row r="7" spans="1:4" ht="12.75">
      <c r="A7" s="365"/>
      <c r="B7" s="365"/>
      <c r="C7" s="609"/>
      <c r="D7" s="365"/>
    </row>
    <row r="8" spans="1:4" ht="12.75">
      <c r="A8" s="185" t="s">
        <v>1051</v>
      </c>
      <c r="B8" s="83"/>
      <c r="C8" s="83"/>
      <c r="D8" s="83"/>
    </row>
    <row r="9" spans="1:4" ht="12.75">
      <c r="A9" s="83" t="s">
        <v>68</v>
      </c>
      <c r="B9" s="83"/>
      <c r="C9" s="83"/>
      <c r="D9" s="83"/>
    </row>
    <row r="10" spans="1:4" ht="12.75">
      <c r="A10" s="46" t="s">
        <v>854</v>
      </c>
      <c r="B10" s="46"/>
      <c r="C10" s="46"/>
      <c r="D10" s="46"/>
    </row>
    <row r="11" spans="1:4" ht="12.75">
      <c r="A11" s="807" t="s">
        <v>70</v>
      </c>
      <c r="B11" s="807"/>
      <c r="C11" s="807"/>
      <c r="D11" s="807"/>
    </row>
    <row r="12" spans="1:4" ht="12.75">
      <c r="A12" s="183" t="s">
        <v>1055</v>
      </c>
      <c r="B12" s="40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87"/>
      <c r="D12" s="87"/>
    </row>
    <row r="13" spans="1:4" ht="12.75" customHeight="1" hidden="1">
      <c r="A13" s="807"/>
      <c r="B13" s="807"/>
      <c r="C13" s="807"/>
      <c r="D13" s="807"/>
    </row>
    <row r="14" spans="1:4" ht="12.75" customHeight="1" hidden="1">
      <c r="A14" s="807"/>
      <c r="B14" s="807"/>
      <c r="C14" s="807"/>
      <c r="D14" s="807"/>
    </row>
    <row r="15" spans="1:4" ht="11.25" customHeight="1" hidden="1">
      <c r="A15" s="83"/>
      <c r="B15" s="83"/>
      <c r="C15" s="83"/>
      <c r="D15" s="83"/>
    </row>
    <row r="16" spans="1:4" ht="11.25" customHeight="1">
      <c r="A16" s="87"/>
      <c r="B16" s="87"/>
      <c r="C16" s="87"/>
      <c r="D16" s="87"/>
    </row>
    <row r="17" spans="1:4" ht="11.25" customHeight="1">
      <c r="A17" s="610" t="s">
        <v>606</v>
      </c>
      <c r="C17" s="53" t="s">
        <v>607</v>
      </c>
      <c r="D17" s="90"/>
    </row>
    <row r="18" spans="1:4" ht="11.25" customHeight="1">
      <c r="A18" s="611"/>
      <c r="B18" s="836" t="s">
        <v>197</v>
      </c>
      <c r="C18" s="828" t="s">
        <v>72</v>
      </c>
      <c r="D18" s="612"/>
    </row>
    <row r="19" spans="1:4" ht="11.25" customHeight="1">
      <c r="A19" s="613" t="s">
        <v>608</v>
      </c>
      <c r="B19" s="898"/>
      <c r="C19" s="829"/>
      <c r="D19" s="606"/>
    </row>
    <row r="20" spans="1:4" ht="11.25" customHeight="1">
      <c r="A20" s="614"/>
      <c r="B20" s="899"/>
      <c r="C20" s="830"/>
      <c r="D20" s="606"/>
    </row>
    <row r="21" spans="1:4" ht="11.25" customHeight="1">
      <c r="A21" s="91" t="s">
        <v>738</v>
      </c>
      <c r="B21" s="176">
        <f>B22+B28+B29+B32+B41</f>
        <v>1253235769.8899999</v>
      </c>
      <c r="C21" s="177">
        <f>C22+C28+C29+C32+C41</f>
        <v>464290256.55</v>
      </c>
      <c r="D21" s="141"/>
    </row>
    <row r="22" spans="1:4" ht="11.25" customHeight="1">
      <c r="A22" s="615" t="s">
        <v>728</v>
      </c>
      <c r="B22" s="178">
        <f>SUM(B23:B27)</f>
        <v>321213000</v>
      </c>
      <c r="C22" s="177">
        <f>SUM(C23:C27)</f>
        <v>126760160.68</v>
      </c>
      <c r="D22" s="141"/>
    </row>
    <row r="23" spans="1:4" ht="11.25" customHeight="1">
      <c r="A23" s="616" t="s">
        <v>742</v>
      </c>
      <c r="B23" s="178">
        <v>125856000</v>
      </c>
      <c r="C23" s="177">
        <v>54088699.53</v>
      </c>
      <c r="D23" s="617"/>
    </row>
    <row r="24" spans="1:4" ht="11.25" customHeight="1">
      <c r="A24" s="91" t="s">
        <v>739</v>
      </c>
      <c r="B24" s="178">
        <v>95900000</v>
      </c>
      <c r="C24" s="177">
        <v>32545829.1</v>
      </c>
      <c r="D24" s="617"/>
    </row>
    <row r="25" spans="1:4" ht="11.25" customHeight="1">
      <c r="A25" s="91" t="s">
        <v>740</v>
      </c>
      <c r="B25" s="178">
        <v>26394000</v>
      </c>
      <c r="C25" s="177">
        <v>15511902.12</v>
      </c>
      <c r="D25" s="617"/>
    </row>
    <row r="26" spans="1:4" ht="11.25" customHeight="1">
      <c r="A26" s="91" t="s">
        <v>741</v>
      </c>
      <c r="B26" s="178">
        <v>37800000</v>
      </c>
      <c r="C26" s="177">
        <v>10240776</v>
      </c>
      <c r="D26" s="617"/>
    </row>
    <row r="27" spans="1:4" ht="11.25" customHeight="1">
      <c r="A27" s="91" t="s">
        <v>814</v>
      </c>
      <c r="B27" s="178">
        <v>35263000</v>
      </c>
      <c r="C27" s="177">
        <v>14372953.93</v>
      </c>
      <c r="D27" s="617"/>
    </row>
    <row r="28" spans="1:4" ht="11.25" customHeight="1">
      <c r="A28" s="91" t="s">
        <v>729</v>
      </c>
      <c r="B28" s="178">
        <v>169653850</v>
      </c>
      <c r="C28" s="177">
        <v>61100910.68</v>
      </c>
      <c r="D28" s="141"/>
    </row>
    <row r="29" spans="1:4" ht="11.25" customHeight="1">
      <c r="A29" s="91" t="s">
        <v>730</v>
      </c>
      <c r="B29" s="178">
        <f>SUM(B30:B31)</f>
        <v>73028273.14</v>
      </c>
      <c r="C29" s="177">
        <f>SUM(C30:C31)</f>
        <v>23196730.259999998</v>
      </c>
      <c r="D29" s="617"/>
    </row>
    <row r="30" spans="1:4" ht="11.25" customHeight="1">
      <c r="A30" s="91" t="s">
        <v>743</v>
      </c>
      <c r="B30" s="178">
        <v>71799173.14</v>
      </c>
      <c r="C30" s="177">
        <v>22915109.9</v>
      </c>
      <c r="D30" s="617"/>
    </row>
    <row r="31" spans="1:4" ht="11.25" customHeight="1">
      <c r="A31" s="91" t="s">
        <v>725</v>
      </c>
      <c r="B31" s="178">
        <v>1229100</v>
      </c>
      <c r="C31" s="177">
        <v>281620.36</v>
      </c>
      <c r="D31" s="141"/>
    </row>
    <row r="32" spans="1:4" ht="11.25" customHeight="1">
      <c r="A32" s="91" t="s">
        <v>731</v>
      </c>
      <c r="B32" s="178">
        <f>SUM(B33:B40)</f>
        <v>545051896.75</v>
      </c>
      <c r="C32" s="177">
        <f>SUM(C33:C40)</f>
        <v>207318226.63</v>
      </c>
      <c r="D32" s="617"/>
    </row>
    <row r="33" spans="1:4" ht="11.25" customHeight="1">
      <c r="A33" s="91" t="s">
        <v>744</v>
      </c>
      <c r="B33" s="178">
        <v>62850000</v>
      </c>
      <c r="C33" s="177">
        <v>19790221.52</v>
      </c>
      <c r="D33" s="617"/>
    </row>
    <row r="34" spans="1:4" ht="11.25" customHeight="1">
      <c r="A34" s="91" t="s">
        <v>745</v>
      </c>
      <c r="B34" s="178">
        <v>209600000</v>
      </c>
      <c r="C34" s="177">
        <v>66556850.79</v>
      </c>
      <c r="D34" s="141"/>
    </row>
    <row r="35" spans="1:4" ht="11.25" customHeight="1">
      <c r="A35" s="91" t="s">
        <v>746</v>
      </c>
      <c r="B35" s="178">
        <v>52000000</v>
      </c>
      <c r="C35" s="177">
        <v>39568265.08</v>
      </c>
      <c r="D35" s="617"/>
    </row>
    <row r="36" spans="1:4" ht="11.25" customHeight="1">
      <c r="A36" s="91" t="s">
        <v>747</v>
      </c>
      <c r="B36" s="178">
        <v>960000</v>
      </c>
      <c r="C36" s="177">
        <v>17699.94</v>
      </c>
      <c r="D36" s="617"/>
    </row>
    <row r="37" spans="1:4" ht="11.25" customHeight="1">
      <c r="A37" s="91" t="s">
        <v>748</v>
      </c>
      <c r="B37" s="178">
        <v>800</v>
      </c>
      <c r="C37" s="177">
        <v>0</v>
      </c>
      <c r="D37" s="617"/>
    </row>
    <row r="38" spans="1:4" ht="11.25" customHeight="1">
      <c r="A38" s="91" t="s">
        <v>749</v>
      </c>
      <c r="B38" s="178">
        <v>1440000</v>
      </c>
      <c r="C38" s="177">
        <v>464515.78</v>
      </c>
      <c r="D38" s="617"/>
    </row>
    <row r="39" spans="1:4" ht="11.25" customHeight="1">
      <c r="A39" s="91" t="s">
        <v>750</v>
      </c>
      <c r="B39" s="178">
        <v>117800000</v>
      </c>
      <c r="C39" s="177">
        <v>44032776.36</v>
      </c>
      <c r="D39" s="617"/>
    </row>
    <row r="40" spans="1:4" ht="11.25" customHeight="1">
      <c r="A40" s="91" t="s">
        <v>751</v>
      </c>
      <c r="B40" s="178">
        <v>100401096.75</v>
      </c>
      <c r="C40" s="177">
        <v>36887897.16</v>
      </c>
      <c r="D40" s="141"/>
    </row>
    <row r="41" spans="1:4" ht="11.25" customHeight="1">
      <c r="A41" s="91" t="s">
        <v>732</v>
      </c>
      <c r="B41" s="178">
        <f>SUM(B42:B43)</f>
        <v>144288750</v>
      </c>
      <c r="C41" s="177">
        <f>SUM(C42:C43)</f>
        <v>45914228.3</v>
      </c>
      <c r="D41" s="617"/>
    </row>
    <row r="42" spans="1:4" ht="11.25" customHeight="1">
      <c r="A42" s="91" t="s">
        <v>752</v>
      </c>
      <c r="B42" s="178"/>
      <c r="C42" s="177"/>
      <c r="D42" s="617"/>
    </row>
    <row r="43" spans="1:4" ht="11.25" customHeight="1">
      <c r="A43" s="91" t="s">
        <v>753</v>
      </c>
      <c r="B43" s="178">
        <v>144288750</v>
      </c>
      <c r="C43" s="177">
        <v>45914228.3</v>
      </c>
      <c r="D43" s="141"/>
    </row>
    <row r="44" spans="1:4" ht="11.25" customHeight="1">
      <c r="A44" s="91" t="s">
        <v>754</v>
      </c>
      <c r="B44" s="178">
        <f>B21-B30-B42</f>
        <v>1181436596.7499998</v>
      </c>
      <c r="C44" s="177">
        <f>C21-C30-C42</f>
        <v>441375146.65000004</v>
      </c>
      <c r="D44" s="617"/>
    </row>
    <row r="45" spans="1:4" ht="11.25" customHeight="1">
      <c r="A45" s="91" t="s">
        <v>755</v>
      </c>
      <c r="B45" s="178">
        <f>B46+B47+B48+B52+B55</f>
        <v>2668581.4</v>
      </c>
      <c r="C45" s="177">
        <f>C46+C47+C48+C52+C55</f>
        <v>1515498.47</v>
      </c>
      <c r="D45" s="617"/>
    </row>
    <row r="46" spans="1:4" s="618" customFormat="1" ht="11.25" customHeight="1">
      <c r="A46" s="91" t="s">
        <v>733</v>
      </c>
      <c r="B46" s="178"/>
      <c r="C46" s="177"/>
      <c r="D46" s="617"/>
    </row>
    <row r="47" spans="1:4" ht="11.25" customHeight="1">
      <c r="A47" s="91" t="s">
        <v>734</v>
      </c>
      <c r="B47" s="178"/>
      <c r="C47" s="177"/>
      <c r="D47" s="141"/>
    </row>
    <row r="48" spans="1:4" ht="11.25" customHeight="1">
      <c r="A48" s="91" t="s">
        <v>735</v>
      </c>
      <c r="B48" s="178">
        <f>SUM(B49:B51)</f>
        <v>920000</v>
      </c>
      <c r="C48" s="177">
        <f>SUM(C49:C51)</f>
        <v>31836</v>
      </c>
      <c r="D48" s="617"/>
    </row>
    <row r="49" spans="1:4" ht="11.25" customHeight="1">
      <c r="A49" s="91" t="s">
        <v>760</v>
      </c>
      <c r="B49" s="178"/>
      <c r="C49" s="177"/>
      <c r="D49" s="617"/>
    </row>
    <row r="50" spans="1:4" ht="11.25" customHeight="1">
      <c r="A50" s="91" t="s">
        <v>759</v>
      </c>
      <c r="B50" s="178"/>
      <c r="C50" s="177"/>
      <c r="D50" s="617"/>
    </row>
    <row r="51" spans="1:4" ht="11.25" customHeight="1">
      <c r="A51" s="91" t="s">
        <v>758</v>
      </c>
      <c r="B51" s="178">
        <v>920000</v>
      </c>
      <c r="C51" s="177">
        <v>31836</v>
      </c>
      <c r="D51" s="617"/>
    </row>
    <row r="52" spans="1:4" ht="11.25" customHeight="1">
      <c r="A52" s="91" t="s">
        <v>736</v>
      </c>
      <c r="B52" s="178">
        <f>SUM(B53:B54)</f>
        <v>1748581.4</v>
      </c>
      <c r="C52" s="177">
        <f>SUM(C53:C54)</f>
        <v>1483662.47</v>
      </c>
      <c r="D52" s="617"/>
    </row>
    <row r="53" spans="1:4" ht="11.25" customHeight="1">
      <c r="A53" s="91" t="s">
        <v>756</v>
      </c>
      <c r="B53" s="178">
        <v>1748581.4</v>
      </c>
      <c r="C53" s="177">
        <v>1286982.47</v>
      </c>
      <c r="D53" s="617"/>
    </row>
    <row r="54" spans="1:4" ht="11.25" customHeight="1">
      <c r="A54" s="91" t="s">
        <v>757</v>
      </c>
      <c r="B54" s="178">
        <v>0</v>
      </c>
      <c r="C54" s="177">
        <v>196680</v>
      </c>
      <c r="D54" s="617"/>
    </row>
    <row r="55" spans="1:4" ht="11.25" customHeight="1">
      <c r="A55" s="91" t="s">
        <v>737</v>
      </c>
      <c r="B55" s="178">
        <f>SUM(B56:B57)</f>
        <v>0</v>
      </c>
      <c r="C55" s="177">
        <f>SUM(C56:C57)</f>
        <v>0</v>
      </c>
      <c r="D55" s="617"/>
    </row>
    <row r="56" spans="1:4" ht="11.25" customHeight="1">
      <c r="A56" s="91" t="s">
        <v>761</v>
      </c>
      <c r="B56" s="178"/>
      <c r="C56" s="177"/>
      <c r="D56" s="617"/>
    </row>
    <row r="57" spans="1:4" ht="11.25" customHeight="1">
      <c r="A57" s="91" t="s">
        <v>762</v>
      </c>
      <c r="B57" s="178"/>
      <c r="C57" s="177"/>
      <c r="D57" s="617"/>
    </row>
    <row r="58" spans="1:4" ht="11.25" customHeight="1">
      <c r="A58" s="91" t="s">
        <v>763</v>
      </c>
      <c r="B58" s="178">
        <f>B45-B46-B47-B49-B50-B56</f>
        <v>2668581.4</v>
      </c>
      <c r="C58" s="177">
        <f>C45-C46-C47-C49-C50-C56</f>
        <v>1515498.47</v>
      </c>
      <c r="D58" s="617"/>
    </row>
    <row r="59" spans="1:4" ht="11.25" customHeight="1">
      <c r="A59" s="619" t="s">
        <v>764</v>
      </c>
      <c r="B59" s="156">
        <f>B44+B58</f>
        <v>1184105178.1499999</v>
      </c>
      <c r="C59" s="157">
        <f>C44+C58</f>
        <v>442890645.12000006</v>
      </c>
      <c r="D59" s="141"/>
    </row>
    <row r="60" spans="1:4" ht="11.25" customHeight="1" hidden="1">
      <c r="A60" s="119"/>
      <c r="B60" s="139"/>
      <c r="C60" s="141"/>
      <c r="D60" s="141"/>
    </row>
    <row r="61" spans="1:4" ht="11.25" customHeight="1">
      <c r="A61" s="620"/>
      <c r="B61" s="621"/>
      <c r="C61" s="609"/>
      <c r="D61" s="609"/>
    </row>
    <row r="62" spans="1:4" ht="11.25" customHeight="1" hidden="1">
      <c r="A62" s="91"/>
      <c r="B62" s="622"/>
      <c r="C62" s="609"/>
      <c r="D62" s="609"/>
    </row>
    <row r="63" spans="1:4" ht="11.25" customHeight="1" hidden="1">
      <c r="A63" s="91"/>
      <c r="B63" s="622"/>
      <c r="C63" s="609"/>
      <c r="D63" s="609"/>
    </row>
    <row r="64" spans="1:4" ht="11.25" customHeight="1" hidden="1">
      <c r="A64" s="91"/>
      <c r="B64" s="622"/>
      <c r="C64" s="609"/>
      <c r="D64" s="609"/>
    </row>
    <row r="65" spans="1:8" ht="12.75" customHeight="1">
      <c r="A65" s="900" t="s">
        <v>609</v>
      </c>
      <c r="B65" s="782" t="s">
        <v>793</v>
      </c>
      <c r="C65" s="852" t="str">
        <f>IF(_xlfn.IFERROR(FIND("TRIMESTRE",A12,1),0)&gt;0,"Até o Trimestre",IF(_xlfn.IFERROR(FIND("BIMESTRE",A12,1),0)&gt;0,"Até o Bimestre","Até o Mês"))</f>
        <v>Até o Mês</v>
      </c>
      <c r="D65" s="853"/>
      <c r="E65" s="853"/>
      <c r="F65" s="853"/>
      <c r="G65" s="853"/>
      <c r="H65" s="854"/>
    </row>
    <row r="66" spans="1:8" ht="15" customHeight="1">
      <c r="A66" s="901"/>
      <c r="B66" s="850"/>
      <c r="C66" s="855" t="s">
        <v>794</v>
      </c>
      <c r="D66" s="855" t="s">
        <v>105</v>
      </c>
      <c r="E66" s="855" t="s">
        <v>798</v>
      </c>
      <c r="F66" s="867" t="s">
        <v>799</v>
      </c>
      <c r="G66" s="868" t="s">
        <v>795</v>
      </c>
      <c r="H66" s="869"/>
    </row>
    <row r="67" spans="1:8" ht="23.25" customHeight="1">
      <c r="A67" s="901"/>
      <c r="B67" s="850"/>
      <c r="C67" s="855"/>
      <c r="D67" s="855"/>
      <c r="E67" s="856"/>
      <c r="F67" s="855"/>
      <c r="G67" s="870"/>
      <c r="H67" s="871"/>
    </row>
    <row r="68" spans="1:8" ht="11.25" customHeight="1">
      <c r="A68" s="901"/>
      <c r="B68" s="850"/>
      <c r="C68" s="855"/>
      <c r="D68" s="855"/>
      <c r="E68" s="856"/>
      <c r="F68" s="855"/>
      <c r="G68" s="872"/>
      <c r="H68" s="873"/>
    </row>
    <row r="69" spans="1:8" ht="11.25" customHeight="1">
      <c r="A69" s="902"/>
      <c r="B69" s="851"/>
      <c r="C69" s="862"/>
      <c r="D69" s="862"/>
      <c r="E69" s="857"/>
      <c r="F69" s="862"/>
      <c r="G69" s="623" t="s">
        <v>796</v>
      </c>
      <c r="H69" s="624" t="s">
        <v>797</v>
      </c>
    </row>
    <row r="70" spans="1:8" ht="11.25" customHeight="1">
      <c r="A70" s="625" t="s">
        <v>801</v>
      </c>
      <c r="B70" s="177">
        <f aca="true" t="shared" si="0" ref="B70:H70">SUM(B71:B73)</f>
        <v>1152140250.3</v>
      </c>
      <c r="C70" s="178">
        <f t="shared" si="0"/>
        <v>511789538.88</v>
      </c>
      <c r="D70" s="177">
        <f t="shared" si="0"/>
        <v>320618598.01</v>
      </c>
      <c r="E70" s="535">
        <f t="shared" si="0"/>
        <v>265097891.55</v>
      </c>
      <c r="F70" s="177">
        <f t="shared" si="0"/>
        <v>28125155.32</v>
      </c>
      <c r="G70" s="178">
        <f t="shared" si="0"/>
        <v>32462491.76</v>
      </c>
      <c r="H70" s="177">
        <f t="shared" si="0"/>
        <v>31943909.57</v>
      </c>
    </row>
    <row r="71" spans="1:8" ht="11.25" customHeight="1">
      <c r="A71" s="625" t="s">
        <v>154</v>
      </c>
      <c r="B71" s="177">
        <v>540691510.93</v>
      </c>
      <c r="C71" s="178">
        <v>167688939.72</v>
      </c>
      <c r="D71" s="177">
        <v>167240004.79</v>
      </c>
      <c r="E71" s="535">
        <v>129955243.44</v>
      </c>
      <c r="F71" s="177">
        <v>14841277.66</v>
      </c>
      <c r="G71" s="178">
        <v>439258.32</v>
      </c>
      <c r="H71" s="177">
        <v>439258.32</v>
      </c>
    </row>
    <row r="72" spans="1:8" ht="11.25" customHeight="1">
      <c r="A72" s="625" t="s">
        <v>802</v>
      </c>
      <c r="B72" s="177">
        <v>6810100</v>
      </c>
      <c r="C72" s="178">
        <v>1485493.33</v>
      </c>
      <c r="D72" s="177">
        <v>1485493.33</v>
      </c>
      <c r="E72" s="535">
        <v>1485493.33</v>
      </c>
      <c r="F72" s="177">
        <v>0</v>
      </c>
      <c r="G72" s="178">
        <v>0</v>
      </c>
      <c r="H72" s="177">
        <v>0</v>
      </c>
    </row>
    <row r="73" spans="1:8" ht="11.25" customHeight="1">
      <c r="A73" s="625" t="s">
        <v>155</v>
      </c>
      <c r="B73" s="177">
        <v>604638639.37</v>
      </c>
      <c r="C73" s="178">
        <v>342615105.83</v>
      </c>
      <c r="D73" s="177">
        <v>151893099.89</v>
      </c>
      <c r="E73" s="535">
        <v>133657154.78</v>
      </c>
      <c r="F73" s="177">
        <v>13283877.66</v>
      </c>
      <c r="G73" s="178">
        <v>32023233.44</v>
      </c>
      <c r="H73" s="177">
        <v>31504651.25</v>
      </c>
    </row>
    <row r="74" spans="1:8" ht="11.25" customHeight="1">
      <c r="A74" s="625" t="s">
        <v>803</v>
      </c>
      <c r="B74" s="177">
        <f aca="true" t="shared" si="1" ref="B74:H74">B70-B72</f>
        <v>1145330150.3</v>
      </c>
      <c r="C74" s="178">
        <f t="shared" si="1"/>
        <v>510304045.55</v>
      </c>
      <c r="D74" s="177">
        <f t="shared" si="1"/>
        <v>319133104.68</v>
      </c>
      <c r="E74" s="535">
        <f t="shared" si="1"/>
        <v>263612398.22</v>
      </c>
      <c r="F74" s="177">
        <f t="shared" si="1"/>
        <v>28125155.32</v>
      </c>
      <c r="G74" s="178">
        <f t="shared" si="1"/>
        <v>32462491.76</v>
      </c>
      <c r="H74" s="177">
        <f t="shared" si="1"/>
        <v>31943909.57</v>
      </c>
    </row>
    <row r="75" spans="1:8" ht="11.25" customHeight="1">
      <c r="A75" s="625" t="s">
        <v>804</v>
      </c>
      <c r="B75" s="177">
        <f aca="true" t="shared" si="2" ref="B75:H75">B76+B77+B82</f>
        <v>90807019.86</v>
      </c>
      <c r="C75" s="178">
        <f t="shared" si="2"/>
        <v>27015162.21</v>
      </c>
      <c r="D75" s="177">
        <f t="shared" si="2"/>
        <v>10247608.54</v>
      </c>
      <c r="E75" s="535">
        <f t="shared" si="2"/>
        <v>9403263.48</v>
      </c>
      <c r="F75" s="177">
        <f t="shared" si="2"/>
        <v>630327.46</v>
      </c>
      <c r="G75" s="178">
        <f t="shared" si="2"/>
        <v>19299305.86</v>
      </c>
      <c r="H75" s="177">
        <f t="shared" si="2"/>
        <v>18342858.77</v>
      </c>
    </row>
    <row r="76" spans="1:8" ht="11.25" customHeight="1">
      <c r="A76" s="626" t="s">
        <v>604</v>
      </c>
      <c r="B76" s="177">
        <v>82366919.86</v>
      </c>
      <c r="C76" s="178">
        <v>24876845.97</v>
      </c>
      <c r="D76" s="177">
        <v>8109292.3</v>
      </c>
      <c r="E76" s="535">
        <v>7264947.24</v>
      </c>
      <c r="F76" s="177">
        <v>630327.46</v>
      </c>
      <c r="G76" s="178">
        <v>19299305.86</v>
      </c>
      <c r="H76" s="177">
        <v>18342858.77</v>
      </c>
    </row>
    <row r="77" spans="1:8" ht="11.25" customHeight="1">
      <c r="A77" s="625" t="s">
        <v>206</v>
      </c>
      <c r="B77" s="177">
        <f aca="true" t="shared" si="3" ref="B77:H77">SUM(B78:B81)</f>
        <v>0</v>
      </c>
      <c r="C77" s="178">
        <f t="shared" si="3"/>
        <v>0</v>
      </c>
      <c r="D77" s="177">
        <f t="shared" si="3"/>
        <v>0</v>
      </c>
      <c r="E77" s="535">
        <f t="shared" si="3"/>
        <v>0</v>
      </c>
      <c r="F77" s="177">
        <f t="shared" si="3"/>
        <v>0</v>
      </c>
      <c r="G77" s="178">
        <f t="shared" si="3"/>
        <v>0</v>
      </c>
      <c r="H77" s="177">
        <f t="shared" si="3"/>
        <v>0</v>
      </c>
    </row>
    <row r="78" spans="1:8" ht="11.25" customHeight="1">
      <c r="A78" s="625" t="s">
        <v>805</v>
      </c>
      <c r="B78" s="177"/>
      <c r="C78" s="178"/>
      <c r="D78" s="177"/>
      <c r="E78" s="535"/>
      <c r="F78" s="177"/>
      <c r="G78" s="178"/>
      <c r="H78" s="177"/>
    </row>
    <row r="79" spans="1:8" ht="11.25" customHeight="1">
      <c r="A79" s="625" t="s">
        <v>806</v>
      </c>
      <c r="B79" s="177"/>
      <c r="C79" s="178"/>
      <c r="D79" s="177"/>
      <c r="E79" s="535"/>
      <c r="F79" s="177"/>
      <c r="G79" s="178"/>
      <c r="H79" s="177"/>
    </row>
    <row r="80" spans="1:8" ht="11.25" customHeight="1">
      <c r="A80" s="625" t="s">
        <v>807</v>
      </c>
      <c r="B80" s="177"/>
      <c r="C80" s="178"/>
      <c r="D80" s="177"/>
      <c r="E80" s="535"/>
      <c r="F80" s="177"/>
      <c r="G80" s="178"/>
      <c r="H80" s="177"/>
    </row>
    <row r="81" spans="1:8" ht="11.25" customHeight="1">
      <c r="A81" s="625" t="s">
        <v>610</v>
      </c>
      <c r="B81" s="177"/>
      <c r="C81" s="178"/>
      <c r="D81" s="177"/>
      <c r="E81" s="535"/>
      <c r="F81" s="177"/>
      <c r="G81" s="178"/>
      <c r="H81" s="177"/>
    </row>
    <row r="82" spans="1:8" ht="11.25" customHeight="1">
      <c r="A82" s="625" t="s">
        <v>808</v>
      </c>
      <c r="B82" s="177">
        <v>8440100</v>
      </c>
      <c r="C82" s="178">
        <v>2138316.24</v>
      </c>
      <c r="D82" s="177">
        <v>2138316.24</v>
      </c>
      <c r="E82" s="535">
        <v>2138316.24</v>
      </c>
      <c r="F82" s="177">
        <v>0</v>
      </c>
      <c r="G82" s="178">
        <v>0</v>
      </c>
      <c r="H82" s="177">
        <v>0</v>
      </c>
    </row>
    <row r="83" spans="1:8" ht="25.5" customHeight="1">
      <c r="A83" s="627" t="s">
        <v>809</v>
      </c>
      <c r="B83" s="177">
        <f aca="true" t="shared" si="4" ref="B83:H83">B75-B78-B79-B80-B82</f>
        <v>82366919.86</v>
      </c>
      <c r="C83" s="178">
        <f t="shared" si="4"/>
        <v>24876845.97</v>
      </c>
      <c r="D83" s="177">
        <f t="shared" si="4"/>
        <v>8109292.299999999</v>
      </c>
      <c r="E83" s="535">
        <f t="shared" si="4"/>
        <v>7264947.24</v>
      </c>
      <c r="F83" s="177">
        <f t="shared" si="4"/>
        <v>630327.46</v>
      </c>
      <c r="G83" s="178">
        <f t="shared" si="4"/>
        <v>19299305.86</v>
      </c>
      <c r="H83" s="177">
        <f t="shared" si="4"/>
        <v>18342858.77</v>
      </c>
    </row>
    <row r="84" spans="1:8" ht="11.25" customHeight="1">
      <c r="A84" s="625" t="s">
        <v>810</v>
      </c>
      <c r="B84" s="177">
        <v>8963000</v>
      </c>
      <c r="C84" s="153"/>
      <c r="D84" s="153"/>
      <c r="E84" s="153"/>
      <c r="F84" s="153"/>
      <c r="G84" s="153"/>
      <c r="H84" s="154"/>
    </row>
    <row r="85" spans="1:8" ht="11.25" customHeight="1">
      <c r="A85" s="628" t="s">
        <v>800</v>
      </c>
      <c r="B85" s="599">
        <f>B74+B83+B84</f>
        <v>1236660070.1599998</v>
      </c>
      <c r="C85" s="600">
        <f aca="true" t="shared" si="5" ref="C85:H85">C74+C83</f>
        <v>535180891.52</v>
      </c>
      <c r="D85" s="599">
        <f t="shared" si="5"/>
        <v>327242396.98</v>
      </c>
      <c r="E85" s="629">
        <f t="shared" si="5"/>
        <v>270877345.46</v>
      </c>
      <c r="F85" s="600">
        <f t="shared" si="5"/>
        <v>28755482.78</v>
      </c>
      <c r="G85" s="600">
        <f t="shared" si="5"/>
        <v>51761797.620000005</v>
      </c>
      <c r="H85" s="599">
        <f t="shared" si="5"/>
        <v>50286768.34</v>
      </c>
    </row>
    <row r="86" spans="1:8" ht="11.25" customHeight="1" hidden="1">
      <c r="A86" s="129"/>
      <c r="B86" s="69"/>
      <c r="C86" s="69"/>
      <c r="D86" s="67"/>
      <c r="E86" s="406"/>
      <c r="F86" s="69"/>
      <c r="G86" s="69"/>
      <c r="H86" s="67"/>
    </row>
    <row r="87" spans="1:8" ht="11.25" customHeight="1" hidden="1">
      <c r="A87" s="129"/>
      <c r="B87" s="69"/>
      <c r="C87" s="69"/>
      <c r="D87" s="67"/>
      <c r="E87" s="406"/>
      <c r="F87" s="69"/>
      <c r="G87" s="69"/>
      <c r="H87" s="67"/>
    </row>
    <row r="88" spans="1:8" ht="11.25" customHeight="1" hidden="1">
      <c r="A88" s="129"/>
      <c r="B88" s="69"/>
      <c r="C88" s="69"/>
      <c r="D88" s="67"/>
      <c r="E88" s="406"/>
      <c r="F88" s="69"/>
      <c r="G88" s="69"/>
      <c r="H88" s="67"/>
    </row>
    <row r="89" spans="1:8" ht="11.25" customHeight="1" hidden="1">
      <c r="A89" s="129"/>
      <c r="B89" s="69"/>
      <c r="C89" s="69"/>
      <c r="D89" s="67"/>
      <c r="E89" s="406"/>
      <c r="F89" s="69"/>
      <c r="G89" s="69"/>
      <c r="H89" s="67"/>
    </row>
    <row r="90" spans="1:8" ht="11.25" customHeight="1" hidden="1">
      <c r="A90" s="129"/>
      <c r="B90" s="69"/>
      <c r="C90" s="69"/>
      <c r="D90" s="67"/>
      <c r="E90" s="406"/>
      <c r="F90" s="69"/>
      <c r="G90" s="69"/>
      <c r="H90" s="67"/>
    </row>
    <row r="91" spans="1:8" ht="11.25" customHeight="1" hidden="1">
      <c r="A91" s="129"/>
      <c r="B91" s="69"/>
      <c r="C91" s="69"/>
      <c r="D91" s="67"/>
      <c r="E91" s="406"/>
      <c r="F91" s="69"/>
      <c r="G91" s="69"/>
      <c r="H91" s="67"/>
    </row>
    <row r="92" spans="1:8" ht="11.25" customHeight="1" hidden="1">
      <c r="A92" s="129"/>
      <c r="B92" s="69"/>
      <c r="C92" s="27"/>
      <c r="D92" s="26"/>
      <c r="E92" s="139"/>
      <c r="F92" s="27"/>
      <c r="G92" s="27"/>
      <c r="H92" s="26"/>
    </row>
    <row r="93" spans="1:8" ht="11.25" customHeight="1">
      <c r="A93" s="129"/>
      <c r="B93" s="69"/>
      <c r="C93" s="141"/>
      <c r="D93" s="141"/>
      <c r="E93" s="141"/>
      <c r="F93" s="141"/>
      <c r="G93" s="141"/>
      <c r="H93" s="141"/>
    </row>
    <row r="94" spans="1:8" ht="26.25" customHeight="1">
      <c r="A94" s="630" t="s">
        <v>765</v>
      </c>
      <c r="B94" s="325">
        <f>C59-(E85+F85+H85)</f>
        <v>92971048.54000002</v>
      </c>
      <c r="C94" s="141"/>
      <c r="D94" s="141"/>
      <c r="E94" s="141"/>
      <c r="F94" s="141"/>
      <c r="G94" s="141"/>
      <c r="H94" s="617"/>
    </row>
    <row r="95" ht="11.25" customHeight="1">
      <c r="C95" s="605"/>
    </row>
    <row r="96" spans="1:4" ht="11.25" customHeight="1" hidden="1">
      <c r="A96" s="631"/>
      <c r="B96" s="631"/>
      <c r="C96" s="631"/>
      <c r="D96" s="631"/>
    </row>
    <row r="97" spans="1:4" ht="11.25" customHeight="1" hidden="1">
      <c r="A97" s="631"/>
      <c r="B97" s="631"/>
      <c r="C97" s="631"/>
      <c r="D97" s="631"/>
    </row>
    <row r="98" spans="1:4" ht="11.25" customHeight="1" hidden="1">
      <c r="A98" s="631"/>
      <c r="B98" s="631"/>
      <c r="C98" s="631"/>
      <c r="D98" s="631"/>
    </row>
    <row r="99" ht="11.25" customHeight="1" hidden="1">
      <c r="C99" s="605"/>
    </row>
    <row r="100" ht="11.25" customHeight="1" hidden="1">
      <c r="C100" s="605"/>
    </row>
    <row r="101" spans="1:8" ht="11.25" customHeight="1">
      <c r="A101" s="858" t="s">
        <v>601</v>
      </c>
      <c r="B101" s="828" t="s">
        <v>602</v>
      </c>
      <c r="C101" s="248"/>
      <c r="D101" s="248"/>
      <c r="E101" s="248"/>
      <c r="F101" s="248"/>
      <c r="G101" s="248"/>
      <c r="H101" s="248"/>
    </row>
    <row r="102" spans="1:8" ht="11.25" customHeight="1">
      <c r="A102" s="859"/>
      <c r="B102" s="830"/>
      <c r="C102" s="248"/>
      <c r="D102" s="248"/>
      <c r="E102" s="248"/>
      <c r="F102" s="248"/>
      <c r="G102" s="248"/>
      <c r="H102" s="248"/>
    </row>
    <row r="103" spans="1:8" ht="25.5" customHeight="1">
      <c r="A103" s="632" t="s">
        <v>613</v>
      </c>
      <c r="B103" s="150">
        <v>20652000</v>
      </c>
      <c r="C103" s="633"/>
      <c r="D103" s="633"/>
      <c r="E103" s="633"/>
      <c r="F103" s="633"/>
      <c r="G103" s="633"/>
      <c r="H103" s="633"/>
    </row>
    <row r="104" spans="1:8" ht="25.5" customHeight="1" hidden="1">
      <c r="A104" s="3"/>
      <c r="B104" s="633"/>
      <c r="C104" s="633"/>
      <c r="D104" s="633"/>
      <c r="E104" s="633"/>
      <c r="F104" s="633"/>
      <c r="G104" s="633"/>
      <c r="H104" s="633"/>
    </row>
    <row r="105" ht="13.5" customHeight="1"/>
    <row r="106" spans="1:4" ht="11.25" customHeight="1" hidden="1">
      <c r="A106" s="606"/>
      <c r="B106" s="606"/>
      <c r="D106" s="606"/>
    </row>
    <row r="107" ht="11.25" customHeight="1" hidden="1"/>
    <row r="108" spans="1:4" s="606" customFormat="1" ht="11.25" customHeight="1" hidden="1">
      <c r="A108" s="605"/>
      <c r="B108" s="605"/>
      <c r="D108" s="605"/>
    </row>
    <row r="109" ht="11.25" customHeight="1" hidden="1"/>
    <row r="110" spans="1:8" s="606" customFormat="1" ht="11.25" customHeight="1">
      <c r="A110" s="865" t="s">
        <v>766</v>
      </c>
      <c r="B110" s="867" t="s">
        <v>767</v>
      </c>
      <c r="C110" s="314"/>
      <c r="D110" s="314"/>
      <c r="E110" s="314"/>
      <c r="F110" s="314"/>
      <c r="G110" s="314"/>
      <c r="H110" s="314"/>
    </row>
    <row r="111" spans="1:8" s="606" customFormat="1" ht="11.25" customHeight="1">
      <c r="A111" s="866"/>
      <c r="B111" s="862"/>
      <c r="C111" s="314"/>
      <c r="D111" s="314"/>
      <c r="E111" s="314"/>
      <c r="F111" s="314"/>
      <c r="G111" s="314"/>
      <c r="H111" s="314"/>
    </row>
    <row r="112" spans="1:8" ht="11.25" customHeight="1">
      <c r="A112" s="625" t="s">
        <v>768</v>
      </c>
      <c r="B112" s="147">
        <v>49487372.92</v>
      </c>
      <c r="C112" s="314"/>
      <c r="D112" s="314"/>
      <c r="E112" s="314"/>
      <c r="F112" s="314"/>
      <c r="G112" s="314"/>
      <c r="H112" s="314"/>
    </row>
    <row r="113" spans="1:8" ht="11.25" customHeight="1">
      <c r="A113" s="634" t="s">
        <v>769</v>
      </c>
      <c r="B113" s="152">
        <v>1567781.98</v>
      </c>
      <c r="C113" s="314"/>
      <c r="D113" s="314"/>
      <c r="E113" s="314"/>
      <c r="F113" s="314"/>
      <c r="G113" s="314"/>
      <c r="H113" s="314"/>
    </row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spans="1:8" ht="32.25" customHeight="1">
      <c r="A122" s="635" t="s">
        <v>770</v>
      </c>
      <c r="B122" s="325">
        <f>B94+(B112-B113)</f>
        <v>140890639.48000002</v>
      </c>
      <c r="C122" s="636"/>
      <c r="D122" s="636"/>
      <c r="E122" s="636"/>
      <c r="F122" s="636"/>
      <c r="G122" s="636"/>
      <c r="H122" s="636"/>
    </row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spans="1:8" ht="11.25" customHeight="1">
      <c r="A129" s="893" t="s">
        <v>771</v>
      </c>
      <c r="B129" s="895" t="s">
        <v>602</v>
      </c>
      <c r="C129" s="637"/>
      <c r="D129" s="637"/>
      <c r="E129" s="637"/>
      <c r="F129" s="637"/>
      <c r="G129" s="637"/>
      <c r="H129" s="637"/>
    </row>
    <row r="130" spans="1:8" ht="11.25" customHeight="1">
      <c r="A130" s="894"/>
      <c r="B130" s="896"/>
      <c r="C130" s="637"/>
      <c r="D130" s="637"/>
      <c r="E130" s="637"/>
      <c r="F130" s="637"/>
      <c r="G130" s="637"/>
      <c r="H130" s="637"/>
    </row>
    <row r="131" spans="1:8" ht="25.5">
      <c r="A131" s="638" t="s">
        <v>772</v>
      </c>
      <c r="B131" s="67">
        <v>0</v>
      </c>
      <c r="C131" s="639"/>
      <c r="D131" s="639"/>
      <c r="E131" s="639"/>
      <c r="F131" s="639"/>
      <c r="G131" s="639"/>
      <c r="H131" s="639"/>
    </row>
    <row r="132" spans="1:8" ht="12.75" customHeight="1" hidden="1">
      <c r="A132" s="640"/>
      <c r="B132" s="641"/>
      <c r="C132" s="641"/>
      <c r="D132" s="641"/>
      <c r="E132" s="641"/>
      <c r="F132" s="641"/>
      <c r="G132" s="641"/>
      <c r="H132" s="641"/>
    </row>
    <row r="133" spans="1:8" ht="12.75" customHeight="1" hidden="1">
      <c r="A133" s="640"/>
      <c r="B133" s="641"/>
      <c r="C133" s="641"/>
      <c r="D133" s="641"/>
      <c r="E133" s="641"/>
      <c r="F133" s="641"/>
      <c r="G133" s="641"/>
      <c r="H133" s="641"/>
    </row>
    <row r="135" spans="1:8" ht="11.25" customHeight="1">
      <c r="A135" s="876" t="s">
        <v>773</v>
      </c>
      <c r="B135" s="877"/>
      <c r="C135" s="878"/>
      <c r="D135" s="642"/>
      <c r="E135" s="642"/>
      <c r="F135" s="642"/>
      <c r="G135" s="642"/>
      <c r="H135" s="642"/>
    </row>
    <row r="136" spans="1:8" ht="11.25" customHeight="1">
      <c r="A136" s="879"/>
      <c r="B136" s="880"/>
      <c r="C136" s="881"/>
      <c r="D136" s="642"/>
      <c r="E136" s="642"/>
      <c r="F136" s="642"/>
      <c r="G136" s="642"/>
      <c r="H136" s="642"/>
    </row>
    <row r="137" spans="1:8" ht="11.25" customHeight="1">
      <c r="A137" s="643"/>
      <c r="B137" s="874" t="s">
        <v>107</v>
      </c>
      <c r="C137" s="875"/>
      <c r="D137" s="118"/>
      <c r="E137" s="118"/>
      <c r="F137" s="118"/>
      <c r="G137" s="118"/>
      <c r="H137" s="118"/>
    </row>
    <row r="138" spans="1:8" ht="27.75" customHeight="1">
      <c r="A138" s="644" t="s">
        <v>774</v>
      </c>
      <c r="B138" s="645" t="s">
        <v>792</v>
      </c>
      <c r="C138" s="646" t="str">
        <f>IF(_xlfn.IFERROR(FIND("TRIMESTRE",A12,1),0)&gt;0,"Até o Trimestre",IF(_xlfn.IFERROR(FIND("BIMESTRE",A12,1),0)&gt;0,"Até o Bimestre","Até o Mês"))</f>
        <v>Até o Mês</v>
      </c>
      <c r="D138" s="647"/>
      <c r="E138" s="647"/>
      <c r="F138" s="606"/>
      <c r="G138" s="606"/>
      <c r="H138" s="606"/>
    </row>
    <row r="139" spans="1:8" ht="11.25" customHeight="1">
      <c r="A139" s="648"/>
      <c r="B139" s="623" t="s">
        <v>79</v>
      </c>
      <c r="C139" s="649" t="s">
        <v>80</v>
      </c>
      <c r="D139" s="650"/>
      <c r="E139" s="650"/>
      <c r="F139" s="606"/>
      <c r="G139" s="606"/>
      <c r="H139" s="606"/>
    </row>
    <row r="140" spans="1:8" ht="11.25" customHeight="1">
      <c r="A140" s="651" t="s">
        <v>775</v>
      </c>
      <c r="B140" s="146">
        <v>53011894.97</v>
      </c>
      <c r="C140" s="148">
        <v>50934861.41</v>
      </c>
      <c r="D140" s="652"/>
      <c r="E140" s="653"/>
      <c r="F140" s="606"/>
      <c r="G140" s="606"/>
      <c r="H140" s="606"/>
    </row>
    <row r="141" spans="1:8" ht="11.25" customHeight="1">
      <c r="A141" s="466" t="s">
        <v>776</v>
      </c>
      <c r="B141" s="145">
        <f>B142+B145</f>
        <v>419787530.56</v>
      </c>
      <c r="C141" s="147">
        <f>C142+C145</f>
        <v>457195164.15</v>
      </c>
      <c r="D141" s="652"/>
      <c r="E141" s="653"/>
      <c r="F141" s="606"/>
      <c r="G141" s="606"/>
      <c r="H141" s="606"/>
    </row>
    <row r="142" spans="1:8" ht="11.25" customHeight="1">
      <c r="A142" s="654" t="s">
        <v>670</v>
      </c>
      <c r="B142" s="145">
        <f>IF(B143&gt;B144,B143-B144,0)</f>
        <v>417961814.07</v>
      </c>
      <c r="C142" s="147">
        <f>IF(C143&gt;C144,C143-C144,0)</f>
        <v>456379957.2</v>
      </c>
      <c r="D142" s="652"/>
      <c r="E142" s="653"/>
      <c r="F142" s="606"/>
      <c r="G142" s="606"/>
      <c r="H142" s="606"/>
    </row>
    <row r="143" spans="1:8" ht="11.25" customHeight="1">
      <c r="A143" s="654" t="s">
        <v>777</v>
      </c>
      <c r="B143" s="145">
        <v>446863963.12</v>
      </c>
      <c r="C143" s="147">
        <v>514364867.27</v>
      </c>
      <c r="D143" s="652"/>
      <c r="E143" s="653"/>
      <c r="F143" s="606"/>
      <c r="G143" s="606"/>
      <c r="H143" s="606"/>
    </row>
    <row r="144" spans="1:8" ht="11.25" customHeight="1">
      <c r="A144" s="654" t="s">
        <v>778</v>
      </c>
      <c r="B144" s="145">
        <v>28902149.05</v>
      </c>
      <c r="C144" s="147">
        <v>57984910.07</v>
      </c>
      <c r="D144" s="652"/>
      <c r="E144" s="653"/>
      <c r="F144" s="606"/>
      <c r="G144" s="606"/>
      <c r="H144" s="606"/>
    </row>
    <row r="145" spans="1:8" ht="11.25" customHeight="1">
      <c r="A145" s="654" t="s">
        <v>599</v>
      </c>
      <c r="B145" s="145">
        <v>1825716.49</v>
      </c>
      <c r="C145" s="147">
        <v>815206.95</v>
      </c>
      <c r="D145" s="652"/>
      <c r="E145" s="653"/>
      <c r="F145" s="606"/>
      <c r="G145" s="606"/>
      <c r="H145" s="606"/>
    </row>
    <row r="146" spans="1:8" ht="11.25" customHeight="1">
      <c r="A146" s="655" t="s">
        <v>779</v>
      </c>
      <c r="B146" s="151">
        <f>B140-B141</f>
        <v>-366775635.59000003</v>
      </c>
      <c r="C146" s="152">
        <f>C140-C141</f>
        <v>-406260302.74</v>
      </c>
      <c r="D146" s="652"/>
      <c r="E146" s="653"/>
      <c r="F146" s="606"/>
      <c r="G146" s="606"/>
      <c r="H146" s="606"/>
    </row>
    <row r="147" spans="1:8" ht="11.25" customHeight="1" hidden="1">
      <c r="A147" s="466"/>
      <c r="B147" s="656"/>
      <c r="C147" s="656"/>
      <c r="D147" s="652"/>
      <c r="E147" s="653"/>
      <c r="F147" s="606"/>
      <c r="G147" s="606"/>
      <c r="H147" s="606"/>
    </row>
    <row r="148" spans="1:8" ht="11.25" customHeight="1" hidden="1">
      <c r="A148" s="466"/>
      <c r="B148" s="652"/>
      <c r="C148" s="652"/>
      <c r="D148" s="652"/>
      <c r="E148" s="653"/>
      <c r="F148" s="606"/>
      <c r="G148" s="606"/>
      <c r="H148" s="606"/>
    </row>
    <row r="149" spans="1:8" ht="11.25" customHeight="1" hidden="1">
      <c r="A149" s="466"/>
      <c r="B149" s="652"/>
      <c r="C149" s="652"/>
      <c r="D149" s="652"/>
      <c r="E149" s="653"/>
      <c r="F149" s="606"/>
      <c r="G149" s="606"/>
      <c r="H149" s="606"/>
    </row>
    <row r="150" spans="1:8" ht="11.25" customHeight="1" hidden="1">
      <c r="A150" s="466"/>
      <c r="B150" s="652"/>
      <c r="C150" s="652"/>
      <c r="D150" s="652"/>
      <c r="E150" s="653"/>
      <c r="F150" s="606"/>
      <c r="G150" s="606"/>
      <c r="H150" s="606"/>
    </row>
    <row r="151" spans="1:8" ht="11.25" customHeight="1" hidden="1">
      <c r="A151" s="466"/>
      <c r="B151" s="652"/>
      <c r="C151" s="652"/>
      <c r="D151" s="652"/>
      <c r="E151" s="653"/>
      <c r="F151" s="606"/>
      <c r="G151" s="606"/>
      <c r="H151" s="606"/>
    </row>
    <row r="152" spans="1:8" ht="11.25" customHeight="1" hidden="1">
      <c r="A152" s="466"/>
      <c r="B152" s="652"/>
      <c r="C152" s="652"/>
      <c r="D152" s="652"/>
      <c r="E152" s="653"/>
      <c r="F152" s="606"/>
      <c r="G152" s="606"/>
      <c r="H152" s="606"/>
    </row>
    <row r="153" spans="1:8" ht="11.25" customHeight="1" hidden="1">
      <c r="A153" s="466"/>
      <c r="B153" s="652"/>
      <c r="C153" s="652"/>
      <c r="D153" s="652"/>
      <c r="E153" s="653"/>
      <c r="F153" s="606"/>
      <c r="G153" s="606"/>
      <c r="H153" s="606"/>
    </row>
    <row r="154" spans="1:8" ht="11.25" customHeight="1">
      <c r="A154" s="466"/>
      <c r="B154" s="652"/>
      <c r="C154" s="652"/>
      <c r="D154" s="652"/>
      <c r="E154" s="653"/>
      <c r="F154" s="606"/>
      <c r="G154" s="606"/>
      <c r="H154" s="606"/>
    </row>
    <row r="155" spans="1:8" ht="11.25" customHeight="1">
      <c r="A155" s="657" t="s">
        <v>780</v>
      </c>
      <c r="B155" s="658">
        <f>B146-C146</f>
        <v>39484667.149999976</v>
      </c>
      <c r="C155" s="652"/>
      <c r="D155" s="652"/>
      <c r="E155" s="652"/>
      <c r="F155" s="652"/>
      <c r="G155" s="652"/>
      <c r="H155" s="652"/>
    </row>
    <row r="156" spans="1:8" ht="11.25" customHeight="1">
      <c r="A156" s="659"/>
      <c r="B156" s="652"/>
      <c r="C156" s="652"/>
      <c r="D156" s="652"/>
      <c r="E156" s="652"/>
      <c r="F156" s="652"/>
      <c r="G156" s="652"/>
      <c r="H156" s="652"/>
    </row>
    <row r="157" spans="1:8" ht="11.25" customHeight="1" hidden="1">
      <c r="A157" s="660"/>
      <c r="B157" s="652"/>
      <c r="C157" s="652"/>
      <c r="D157" s="652"/>
      <c r="E157" s="652"/>
      <c r="F157" s="652"/>
      <c r="G157" s="652"/>
      <c r="H157" s="652"/>
    </row>
    <row r="158" spans="1:8" ht="11.25" customHeight="1" hidden="1">
      <c r="A158" s="660"/>
      <c r="B158" s="652"/>
      <c r="C158" s="652"/>
      <c r="D158" s="652"/>
      <c r="E158" s="652"/>
      <c r="F158" s="652"/>
      <c r="G158" s="652"/>
      <c r="H158" s="652"/>
    </row>
    <row r="159" spans="1:8" ht="11.25" customHeight="1" hidden="1">
      <c r="A159" s="660"/>
      <c r="B159" s="652"/>
      <c r="C159" s="652"/>
      <c r="D159" s="652"/>
      <c r="E159" s="652"/>
      <c r="F159" s="652"/>
      <c r="G159" s="652"/>
      <c r="H159" s="652"/>
    </row>
    <row r="160" spans="1:8" ht="11.25" customHeight="1" hidden="1">
      <c r="A160" s="660"/>
      <c r="B160" s="652"/>
      <c r="C160" s="652"/>
      <c r="D160" s="652"/>
      <c r="E160" s="652"/>
      <c r="F160" s="652"/>
      <c r="G160" s="652"/>
      <c r="H160" s="652"/>
    </row>
    <row r="161" spans="1:8" ht="11.25" customHeight="1">
      <c r="A161" s="661"/>
      <c r="B161" s="867" t="str">
        <f>IF(_xlfn.IFERROR(FIND("TRIMESTRE",A12,1),0)&gt;0,"Até o Trimestre",IF(_xlfn.IFERROR(FIND("BIMESTRE",A12,1),0)&gt;0,"Até o Bimestre","Até o Mês"))</f>
        <v>Até o Mês</v>
      </c>
      <c r="C161" s="314"/>
      <c r="D161" s="314"/>
      <c r="E161" s="314"/>
      <c r="F161" s="314"/>
      <c r="G161" s="314"/>
      <c r="H161" s="314"/>
    </row>
    <row r="162" spans="1:8" ht="11.25" customHeight="1">
      <c r="A162" s="662" t="s">
        <v>781</v>
      </c>
      <c r="B162" s="855"/>
      <c r="C162" s="314"/>
      <c r="D162" s="314"/>
      <c r="E162" s="314"/>
      <c r="F162" s="314"/>
      <c r="G162" s="314"/>
      <c r="H162" s="314"/>
    </row>
    <row r="163" spans="1:8" ht="11.25" customHeight="1">
      <c r="A163" s="654"/>
      <c r="B163" s="862"/>
      <c r="C163" s="314"/>
      <c r="D163" s="314"/>
      <c r="E163" s="314"/>
      <c r="F163" s="314"/>
      <c r="G163" s="314"/>
      <c r="H163" s="314"/>
    </row>
    <row r="164" spans="1:8" ht="11.25" customHeight="1">
      <c r="A164" s="663" t="s">
        <v>782</v>
      </c>
      <c r="B164" s="147">
        <f>B144-C144</f>
        <v>-29082761.02</v>
      </c>
      <c r="C164" s="653"/>
      <c r="D164" s="664"/>
      <c r="E164" s="664"/>
      <c r="F164" s="653"/>
      <c r="G164" s="653"/>
      <c r="H164" s="653"/>
    </row>
    <row r="165" spans="1:8" ht="11.25" customHeight="1">
      <c r="A165" s="665" t="s">
        <v>783</v>
      </c>
      <c r="B165" s="147">
        <f>C50</f>
        <v>0</v>
      </c>
      <c r="C165" s="653"/>
      <c r="D165" s="664"/>
      <c r="E165" s="664"/>
      <c r="F165" s="653"/>
      <c r="G165" s="653"/>
      <c r="H165" s="653"/>
    </row>
    <row r="166" spans="1:8" ht="11.25" customHeight="1">
      <c r="A166" s="665" t="s">
        <v>784</v>
      </c>
      <c r="B166" s="147">
        <v>0</v>
      </c>
      <c r="C166" s="653"/>
      <c r="D166" s="664"/>
      <c r="E166" s="664"/>
      <c r="F166" s="653"/>
      <c r="G166" s="653"/>
      <c r="H166" s="653"/>
    </row>
    <row r="167" spans="1:8" ht="11.25" customHeight="1">
      <c r="A167" s="665" t="s">
        <v>860</v>
      </c>
      <c r="B167" s="169"/>
      <c r="C167" s="653"/>
      <c r="D167" s="664"/>
      <c r="E167" s="664"/>
      <c r="F167" s="653"/>
      <c r="G167" s="653"/>
      <c r="H167" s="653"/>
    </row>
    <row r="168" spans="1:8" ht="11.25" customHeight="1">
      <c r="A168" s="665" t="s">
        <v>861</v>
      </c>
      <c r="B168" s="169"/>
      <c r="C168" s="653"/>
      <c r="D168" s="664"/>
      <c r="E168" s="664"/>
      <c r="F168" s="653"/>
      <c r="G168" s="653"/>
      <c r="H168" s="653"/>
    </row>
    <row r="169" spans="1:8" ht="11.25" customHeight="1">
      <c r="A169" s="665" t="s">
        <v>912</v>
      </c>
      <c r="B169" s="169"/>
      <c r="C169" s="653"/>
      <c r="D169" s="664"/>
      <c r="E169" s="664"/>
      <c r="F169" s="653"/>
      <c r="G169" s="653"/>
      <c r="H169" s="653"/>
    </row>
    <row r="170" spans="1:8" ht="11.25" customHeight="1">
      <c r="A170" s="665" t="s">
        <v>913</v>
      </c>
      <c r="B170" s="147"/>
      <c r="C170" s="653"/>
      <c r="D170" s="664"/>
      <c r="E170" s="664"/>
      <c r="F170" s="653"/>
      <c r="G170" s="653"/>
      <c r="H170" s="653"/>
    </row>
    <row r="171" spans="1:8" ht="38.25">
      <c r="A171" s="666" t="s">
        <v>914</v>
      </c>
      <c r="B171" s="325">
        <f>B155-B164-B165+B166+B167-B168+B169+B170</f>
        <v>68567428.16999997</v>
      </c>
      <c r="C171" s="667"/>
      <c r="D171" s="667"/>
      <c r="E171" s="667"/>
      <c r="F171" s="667"/>
      <c r="G171" s="667"/>
      <c r="H171" s="667"/>
    </row>
    <row r="172" spans="1:8" ht="11.25" customHeight="1">
      <c r="A172" s="668"/>
      <c r="B172" s="669"/>
      <c r="C172" s="653"/>
      <c r="D172" s="653"/>
      <c r="E172" s="653"/>
      <c r="F172" s="653"/>
      <c r="G172" s="653"/>
      <c r="H172" s="653"/>
    </row>
    <row r="173" spans="1:8" ht="11.25" customHeight="1" hidden="1">
      <c r="A173" s="668"/>
      <c r="B173" s="669"/>
      <c r="C173" s="653"/>
      <c r="D173" s="653"/>
      <c r="E173" s="653"/>
      <c r="F173" s="653"/>
      <c r="G173" s="653"/>
      <c r="H173" s="653"/>
    </row>
    <row r="174" spans="1:8" ht="11.25" customHeight="1" hidden="1">
      <c r="A174" s="668"/>
      <c r="B174" s="669"/>
      <c r="C174" s="653"/>
      <c r="D174" s="653"/>
      <c r="E174" s="653"/>
      <c r="F174" s="653"/>
      <c r="G174" s="653"/>
      <c r="H174" s="653"/>
    </row>
    <row r="175" spans="1:8" ht="11.25" customHeight="1" hidden="1">
      <c r="A175" s="668"/>
      <c r="B175" s="669"/>
      <c r="C175" s="653"/>
      <c r="D175" s="653"/>
      <c r="E175" s="653"/>
      <c r="F175" s="653"/>
      <c r="G175" s="653"/>
      <c r="H175" s="653"/>
    </row>
    <row r="176" spans="1:8" ht="11.25" customHeight="1" hidden="1">
      <c r="A176" s="668"/>
      <c r="B176" s="669"/>
      <c r="C176" s="653"/>
      <c r="D176" s="653"/>
      <c r="E176" s="653"/>
      <c r="F176" s="653"/>
      <c r="G176" s="653"/>
      <c r="H176" s="653"/>
    </row>
    <row r="177" spans="1:8" ht="11.25" customHeight="1" hidden="1">
      <c r="A177" s="668"/>
      <c r="B177" s="669"/>
      <c r="C177" s="653"/>
      <c r="D177" s="653"/>
      <c r="E177" s="653"/>
      <c r="F177" s="653"/>
      <c r="G177" s="653"/>
      <c r="H177" s="653"/>
    </row>
    <row r="178" spans="1:8" ht="11.25" customHeight="1" hidden="1">
      <c r="A178" s="668"/>
      <c r="B178" s="669"/>
      <c r="C178" s="653"/>
      <c r="D178" s="653"/>
      <c r="E178" s="653"/>
      <c r="F178" s="653"/>
      <c r="G178" s="653"/>
      <c r="H178" s="653"/>
    </row>
    <row r="179" spans="1:8" ht="11.25" customHeight="1" hidden="1">
      <c r="A179" s="668"/>
      <c r="B179" s="669"/>
      <c r="C179" s="653"/>
      <c r="D179" s="653"/>
      <c r="E179" s="653"/>
      <c r="F179" s="653"/>
      <c r="G179" s="653"/>
      <c r="H179" s="653"/>
    </row>
    <row r="180" spans="1:8" ht="25.5">
      <c r="A180" s="670" t="s">
        <v>915</v>
      </c>
      <c r="B180" s="325">
        <f>B171-(B112-B113)</f>
        <v>20647837.229999967</v>
      </c>
      <c r="C180" s="314"/>
      <c r="D180" s="314"/>
      <c r="E180" s="314"/>
      <c r="F180" s="314"/>
      <c r="G180" s="314"/>
      <c r="H180" s="314"/>
    </row>
    <row r="181" spans="1:8" ht="11.25" customHeight="1">
      <c r="A181" s="671"/>
      <c r="B181" s="554"/>
      <c r="C181" s="653"/>
      <c r="D181" s="554"/>
      <c r="E181" s="554"/>
      <c r="F181" s="554"/>
      <c r="G181" s="554"/>
      <c r="H181" s="554"/>
    </row>
    <row r="182" spans="1:8" ht="11.25" customHeight="1" hidden="1">
      <c r="A182" s="672"/>
      <c r="B182" s="554"/>
      <c r="C182" s="653"/>
      <c r="D182" s="554"/>
      <c r="E182" s="554"/>
      <c r="F182" s="554"/>
      <c r="G182" s="554"/>
      <c r="H182" s="554"/>
    </row>
    <row r="183" spans="1:8" ht="11.25" customHeight="1" hidden="1">
      <c r="A183" s="672"/>
      <c r="B183" s="554"/>
      <c r="C183" s="653"/>
      <c r="D183" s="554"/>
      <c r="E183" s="554"/>
      <c r="F183" s="554"/>
      <c r="G183" s="554"/>
      <c r="H183" s="554"/>
    </row>
    <row r="184" spans="1:8" ht="11.25" customHeight="1" hidden="1">
      <c r="A184" s="672"/>
      <c r="B184" s="554"/>
      <c r="C184" s="653"/>
      <c r="D184" s="554"/>
      <c r="E184" s="554"/>
      <c r="F184" s="554"/>
      <c r="G184" s="554"/>
      <c r="H184" s="554"/>
    </row>
    <row r="185" spans="1:8" ht="11.25" customHeight="1" hidden="1">
      <c r="A185" s="672"/>
      <c r="B185" s="554"/>
      <c r="C185" s="653"/>
      <c r="D185" s="554"/>
      <c r="E185" s="554"/>
      <c r="F185" s="554"/>
      <c r="G185" s="554"/>
      <c r="H185" s="554"/>
    </row>
    <row r="186" spans="1:8" ht="11.25" customHeight="1" hidden="1">
      <c r="A186" s="672"/>
      <c r="B186" s="554"/>
      <c r="C186" s="653"/>
      <c r="D186" s="554"/>
      <c r="E186" s="554"/>
      <c r="F186" s="554"/>
      <c r="G186" s="554"/>
      <c r="H186" s="554"/>
    </row>
    <row r="187" spans="1:8" ht="12.75" customHeight="1">
      <c r="A187" s="900" t="s">
        <v>785</v>
      </c>
      <c r="B187" s="831" t="s">
        <v>86</v>
      </c>
      <c r="C187" s="673"/>
      <c r="D187" s="673"/>
      <c r="E187" s="673"/>
      <c r="F187" s="673"/>
      <c r="G187" s="673"/>
      <c r="H187" s="673"/>
    </row>
    <row r="188" spans="1:8" ht="12.75">
      <c r="A188" s="902"/>
      <c r="B188" s="897"/>
      <c r="C188" s="673"/>
      <c r="D188" s="673"/>
      <c r="E188" s="673"/>
      <c r="F188" s="673"/>
      <c r="G188" s="673"/>
      <c r="H188" s="673"/>
    </row>
    <row r="189" spans="1:8" ht="12.75">
      <c r="A189" s="610" t="s">
        <v>858</v>
      </c>
      <c r="B189" s="169">
        <f>B190+B191</f>
        <v>73671718.87</v>
      </c>
      <c r="C189" s="673"/>
      <c r="D189" s="673"/>
      <c r="E189" s="673"/>
      <c r="F189" s="673"/>
      <c r="G189" s="673"/>
      <c r="H189" s="673"/>
    </row>
    <row r="190" spans="1:8" ht="11.25" customHeight="1">
      <c r="A190" s="674" t="s">
        <v>862</v>
      </c>
      <c r="B190" s="169"/>
      <c r="C190" s="652"/>
      <c r="D190" s="652"/>
      <c r="E190" s="652"/>
      <c r="F190" s="652"/>
      <c r="G190" s="652"/>
      <c r="H190" s="652"/>
    </row>
    <row r="191" spans="1:8" ht="25.5">
      <c r="A191" s="675" t="s">
        <v>863</v>
      </c>
      <c r="B191" s="169">
        <v>73671718.87</v>
      </c>
      <c r="C191" s="652"/>
      <c r="D191" s="652"/>
      <c r="E191" s="652"/>
      <c r="F191" s="652"/>
      <c r="G191" s="652"/>
      <c r="H191" s="652"/>
    </row>
    <row r="192" spans="1:8" ht="11.25" customHeight="1">
      <c r="A192" s="115" t="s">
        <v>786</v>
      </c>
      <c r="B192" s="172">
        <v>77665800</v>
      </c>
      <c r="C192" s="676"/>
      <c r="D192" s="676"/>
      <c r="E192" s="676"/>
      <c r="F192" s="676"/>
      <c r="G192" s="676"/>
      <c r="H192" s="676"/>
    </row>
    <row r="193" ht="11.25" customHeight="1" hidden="1">
      <c r="A193" s="677"/>
    </row>
    <row r="194" ht="11.25" customHeight="1" hidden="1">
      <c r="A194" s="678"/>
    </row>
    <row r="195" spans="1:8" ht="11.25" customHeight="1" hidden="1">
      <c r="A195" s="554"/>
      <c r="B195" s="554"/>
      <c r="C195" s="653"/>
      <c r="D195" s="554"/>
      <c r="E195" s="554"/>
      <c r="F195" s="554"/>
      <c r="G195" s="554"/>
      <c r="H195" s="554"/>
    </row>
    <row r="196" spans="1:8" ht="11.25" customHeight="1" hidden="1">
      <c r="A196" s="554"/>
      <c r="B196" s="554"/>
      <c r="C196" s="653"/>
      <c r="D196" s="554"/>
      <c r="E196" s="554"/>
      <c r="F196" s="554"/>
      <c r="G196" s="554"/>
      <c r="H196" s="554"/>
    </row>
    <row r="197" spans="1:8" ht="11.25" customHeight="1" hidden="1">
      <c r="A197" s="882" t="s">
        <v>787</v>
      </c>
      <c r="B197" s="883"/>
      <c r="C197" s="883"/>
      <c r="D197" s="884"/>
      <c r="E197" s="679"/>
      <c r="F197" s="679"/>
      <c r="G197" s="679"/>
      <c r="H197" s="679"/>
    </row>
    <row r="198" spans="1:8" ht="11.25" customHeight="1" hidden="1">
      <c r="A198" s="885"/>
      <c r="B198" s="886"/>
      <c r="C198" s="886"/>
      <c r="D198" s="887"/>
      <c r="E198" s="679"/>
      <c r="F198" s="679"/>
      <c r="G198" s="679"/>
      <c r="H198" s="679"/>
    </row>
    <row r="199" spans="1:8" ht="11.25" customHeight="1" hidden="1">
      <c r="A199" s="680"/>
      <c r="B199" s="890" t="s">
        <v>197</v>
      </c>
      <c r="C199" s="860" t="s">
        <v>72</v>
      </c>
      <c r="D199" s="861"/>
      <c r="E199" s="248"/>
      <c r="F199" s="606"/>
      <c r="G199" s="248"/>
      <c r="H199" s="248"/>
    </row>
    <row r="200" spans="1:8" ht="11.25" customHeight="1" hidden="1">
      <c r="A200" s="681" t="s">
        <v>608</v>
      </c>
      <c r="B200" s="891"/>
      <c r="C200" s="682" t="s">
        <v>150</v>
      </c>
      <c r="D200" s="682" t="s">
        <v>150</v>
      </c>
      <c r="E200" s="609"/>
      <c r="F200" s="606"/>
      <c r="G200" s="609"/>
      <c r="H200" s="609"/>
    </row>
    <row r="201" spans="1:8" ht="11.25" customHeight="1" hidden="1">
      <c r="A201" s="683"/>
      <c r="B201" s="892"/>
      <c r="C201" s="684" t="s">
        <v>151</v>
      </c>
      <c r="D201" s="685" t="s">
        <v>152</v>
      </c>
      <c r="E201" s="248"/>
      <c r="F201" s="606"/>
      <c r="G201" s="609"/>
      <c r="H201" s="609"/>
    </row>
    <row r="202" spans="1:8" ht="11.25" customHeight="1" hidden="1">
      <c r="A202" s="686" t="s">
        <v>788</v>
      </c>
      <c r="B202" s="687"/>
      <c r="C202" s="688"/>
      <c r="D202" s="689"/>
      <c r="E202" s="690"/>
      <c r="F202" s="690"/>
      <c r="G202" s="690"/>
      <c r="H202" s="690"/>
    </row>
    <row r="203" spans="1:8" ht="11.25" customHeight="1" hidden="1">
      <c r="A203" s="668"/>
      <c r="B203" s="653"/>
      <c r="C203" s="653"/>
      <c r="D203" s="653"/>
      <c r="E203" s="653"/>
      <c r="F203" s="653"/>
      <c r="G203" s="653"/>
      <c r="H203" s="691"/>
    </row>
    <row r="204" spans="1:8" ht="11.25" customHeight="1" hidden="1">
      <c r="A204" s="668"/>
      <c r="B204" s="653"/>
      <c r="C204" s="653"/>
      <c r="D204" s="653"/>
      <c r="E204" s="653"/>
      <c r="F204" s="653"/>
      <c r="G204" s="653"/>
      <c r="H204" s="691"/>
    </row>
    <row r="205" spans="1:8" ht="11.25" customHeight="1" hidden="1">
      <c r="A205" s="668"/>
      <c r="B205" s="653"/>
      <c r="C205" s="653"/>
      <c r="D205" s="653"/>
      <c r="E205" s="653"/>
      <c r="F205" s="653"/>
      <c r="G205" s="653"/>
      <c r="H205" s="691"/>
    </row>
    <row r="206" spans="1:8" ht="11.25" customHeight="1" hidden="1">
      <c r="A206" s="668"/>
      <c r="B206" s="653"/>
      <c r="C206" s="653"/>
      <c r="D206" s="653"/>
      <c r="E206" s="653"/>
      <c r="F206" s="653"/>
      <c r="G206" s="653"/>
      <c r="H206" s="691"/>
    </row>
    <row r="207" spans="1:8" ht="11.25" customHeight="1" hidden="1">
      <c r="A207" s="668"/>
      <c r="B207" s="653"/>
      <c r="C207" s="653"/>
      <c r="D207" s="653"/>
      <c r="E207" s="653"/>
      <c r="F207" s="653"/>
      <c r="G207" s="653"/>
      <c r="H207" s="691"/>
    </row>
    <row r="208" spans="1:8" ht="11.25" customHeight="1" hidden="1">
      <c r="A208" s="668"/>
      <c r="B208" s="653"/>
      <c r="C208" s="653"/>
      <c r="D208" s="653"/>
      <c r="E208" s="653"/>
      <c r="F208" s="653"/>
      <c r="G208" s="653"/>
      <c r="H208" s="691"/>
    </row>
    <row r="209" spans="1:8" ht="11.25" customHeight="1" hidden="1">
      <c r="A209" s="680"/>
      <c r="B209" s="692" t="s">
        <v>103</v>
      </c>
      <c r="C209" s="860" t="s">
        <v>104</v>
      </c>
      <c r="D209" s="861"/>
      <c r="E209" s="860" t="s">
        <v>105</v>
      </c>
      <c r="F209" s="861"/>
      <c r="G209" s="860" t="s">
        <v>320</v>
      </c>
      <c r="H209" s="861"/>
    </row>
    <row r="210" spans="1:8" ht="11.25" customHeight="1" hidden="1">
      <c r="A210" s="681" t="s">
        <v>609</v>
      </c>
      <c r="B210" s="693" t="s">
        <v>75</v>
      </c>
      <c r="C210" s="694" t="s">
        <v>150</v>
      </c>
      <c r="D210" s="694" t="s">
        <v>150</v>
      </c>
      <c r="E210" s="694" t="s">
        <v>150</v>
      </c>
      <c r="F210" s="695" t="s">
        <v>150</v>
      </c>
      <c r="G210" s="863" t="s">
        <v>476</v>
      </c>
      <c r="H210" s="863" t="s">
        <v>477</v>
      </c>
    </row>
    <row r="211" spans="1:8" ht="11.25" customHeight="1" hidden="1">
      <c r="A211" s="683"/>
      <c r="B211" s="683"/>
      <c r="C211" s="696" t="s">
        <v>151</v>
      </c>
      <c r="D211" s="697" t="s">
        <v>152</v>
      </c>
      <c r="E211" s="696" t="s">
        <v>151</v>
      </c>
      <c r="F211" s="697" t="s">
        <v>152</v>
      </c>
      <c r="G211" s="864"/>
      <c r="H211" s="864"/>
    </row>
    <row r="212" spans="1:8" ht="11.25" customHeight="1" hidden="1">
      <c r="A212" s="698" t="s">
        <v>611</v>
      </c>
      <c r="B212" s="699"/>
      <c r="C212" s="700"/>
      <c r="D212" s="700"/>
      <c r="E212" s="700"/>
      <c r="F212" s="700"/>
      <c r="G212" s="700"/>
      <c r="H212" s="701"/>
    </row>
    <row r="213" spans="1:8" ht="11.25" customHeight="1" hidden="1">
      <c r="A213" s="698" t="s">
        <v>612</v>
      </c>
      <c r="B213" s="702"/>
      <c r="C213" s="700"/>
      <c r="D213" s="700"/>
      <c r="E213" s="700"/>
      <c r="F213" s="700"/>
      <c r="G213" s="703"/>
      <c r="H213" s="704"/>
    </row>
    <row r="214" spans="1:8" ht="11.25" customHeight="1" hidden="1">
      <c r="A214" s="119"/>
      <c r="B214" s="621"/>
      <c r="C214" s="705"/>
      <c r="D214" s="705"/>
      <c r="F214" s="606"/>
      <c r="H214" s="606"/>
    </row>
    <row r="215" spans="1:8" ht="11.25" customHeight="1" hidden="1">
      <c r="A215" s="2"/>
      <c r="B215" s="622"/>
      <c r="C215" s="609"/>
      <c r="D215" s="609"/>
      <c r="F215" s="606"/>
      <c r="H215" s="606"/>
    </row>
    <row r="216" spans="1:8" ht="11.25" customHeight="1" hidden="1">
      <c r="A216" s="2"/>
      <c r="B216" s="622"/>
      <c r="C216" s="609"/>
      <c r="D216" s="609"/>
      <c r="F216" s="606"/>
      <c r="H216" s="606"/>
    </row>
    <row r="217" spans="1:8" ht="11.25" customHeight="1" hidden="1">
      <c r="A217" s="2"/>
      <c r="B217" s="622"/>
      <c r="C217" s="609"/>
      <c r="D217" s="609"/>
      <c r="F217" s="606"/>
      <c r="H217" s="606"/>
    </row>
    <row r="218" spans="1:8" ht="11.25" customHeight="1" hidden="1">
      <c r="A218" s="2"/>
      <c r="B218" s="622"/>
      <c r="C218" s="609"/>
      <c r="D218" s="609"/>
      <c r="F218" s="606"/>
      <c r="H218" s="606"/>
    </row>
    <row r="219" spans="1:8" ht="11.25" customHeight="1" hidden="1">
      <c r="A219" s="2"/>
      <c r="B219" s="622"/>
      <c r="C219" s="609"/>
      <c r="D219" s="609"/>
      <c r="F219" s="606"/>
      <c r="H219" s="606"/>
    </row>
    <row r="220" spans="1:8" ht="11.25" customHeight="1" hidden="1">
      <c r="A220" s="2"/>
      <c r="B220" s="622"/>
      <c r="C220" s="609"/>
      <c r="D220" s="609"/>
      <c r="F220" s="606"/>
      <c r="H220" s="606"/>
    </row>
    <row r="221" spans="1:8" ht="12.75" customHeight="1" hidden="1">
      <c r="A221" s="706" t="s">
        <v>789</v>
      </c>
      <c r="B221" s="699" t="s">
        <v>602</v>
      </c>
      <c r="C221" s="707"/>
      <c r="D221" s="707"/>
      <c r="E221" s="622"/>
      <c r="F221" s="622"/>
      <c r="G221" s="622"/>
      <c r="H221" s="622"/>
    </row>
    <row r="222" spans="1:8" ht="25.5" customHeight="1" hidden="1">
      <c r="A222" s="708" t="s">
        <v>613</v>
      </c>
      <c r="B222" s="685"/>
      <c r="C222" s="91"/>
      <c r="D222" s="91"/>
      <c r="E222" s="606"/>
      <c r="F222" s="606"/>
      <c r="G222" s="606"/>
      <c r="H222" s="606"/>
    </row>
    <row r="223" spans="1:8" ht="12.75" customHeight="1" hidden="1">
      <c r="A223" s="3"/>
      <c r="B223" s="606"/>
      <c r="C223" s="91"/>
      <c r="D223" s="91"/>
      <c r="E223" s="606"/>
      <c r="F223" s="606"/>
      <c r="G223" s="606"/>
      <c r="H223" s="606"/>
    </row>
    <row r="224" spans="1:7" ht="11.25" customHeight="1" hidden="1">
      <c r="A224" s="70"/>
      <c r="B224" s="70"/>
      <c r="C224" s="70"/>
      <c r="D224" s="70"/>
      <c r="E224" s="70"/>
      <c r="F224" s="70"/>
      <c r="G224" s="70"/>
    </row>
    <row r="225" spans="1:7" ht="11.25" customHeight="1" hidden="1">
      <c r="A225" s="70"/>
      <c r="B225" s="70"/>
      <c r="C225" s="70"/>
      <c r="D225" s="70"/>
      <c r="E225" s="70"/>
      <c r="F225" s="70"/>
      <c r="G225" s="70"/>
    </row>
    <row r="226" spans="1:7" ht="11.25" customHeight="1" hidden="1">
      <c r="A226" s="70"/>
      <c r="B226" s="70"/>
      <c r="C226" s="70"/>
      <c r="D226" s="70"/>
      <c r="E226" s="70"/>
      <c r="F226" s="70"/>
      <c r="G226" s="70"/>
    </row>
    <row r="227" spans="1:8" ht="11.25" customHeight="1" hidden="1">
      <c r="A227" s="882" t="s">
        <v>790</v>
      </c>
      <c r="B227" s="883"/>
      <c r="C227" s="884"/>
      <c r="D227" s="679"/>
      <c r="E227" s="679"/>
      <c r="F227" s="679"/>
      <c r="G227" s="679"/>
      <c r="H227" s="679"/>
    </row>
    <row r="228" spans="1:8" ht="11.25" customHeight="1" hidden="1">
      <c r="A228" s="885"/>
      <c r="B228" s="886"/>
      <c r="C228" s="887"/>
      <c r="D228" s="679"/>
      <c r="E228" s="679"/>
      <c r="F228" s="679"/>
      <c r="G228" s="679"/>
      <c r="H228" s="679"/>
    </row>
    <row r="229" spans="1:8" ht="11.25" customHeight="1" hidden="1">
      <c r="A229" s="709"/>
      <c r="B229" s="888" t="s">
        <v>156</v>
      </c>
      <c r="C229" s="889"/>
      <c r="D229" s="609"/>
      <c r="E229" s="609"/>
      <c r="F229" s="609"/>
      <c r="G229" s="609"/>
      <c r="H229" s="609"/>
    </row>
    <row r="230" spans="1:8" ht="11.25" customHeight="1" hidden="1">
      <c r="A230" s="710" t="s">
        <v>600</v>
      </c>
      <c r="B230" s="711" t="s">
        <v>76</v>
      </c>
      <c r="C230" s="712" t="s">
        <v>78</v>
      </c>
      <c r="D230" s="713"/>
      <c r="E230" s="606"/>
      <c r="F230" s="86"/>
      <c r="G230" s="86"/>
      <c r="H230" s="86"/>
    </row>
    <row r="231" spans="1:8" ht="11.25" customHeight="1" hidden="1">
      <c r="A231" s="714"/>
      <c r="B231" s="715" t="s">
        <v>618</v>
      </c>
      <c r="C231" s="716" t="s">
        <v>619</v>
      </c>
      <c r="D231" s="717"/>
      <c r="E231" s="606"/>
      <c r="F231" s="718"/>
      <c r="G231" s="718"/>
      <c r="H231" s="718"/>
    </row>
    <row r="232" spans="1:8" ht="11.25" customHeight="1" hidden="1">
      <c r="A232" s="701" t="s">
        <v>157</v>
      </c>
      <c r="B232" s="719"/>
      <c r="C232" s="720"/>
      <c r="D232" s="91"/>
      <c r="E232" s="849"/>
      <c r="F232" s="849"/>
      <c r="G232" s="849"/>
      <c r="H232" s="849"/>
    </row>
    <row r="233" spans="1:8" ht="11.25" customHeight="1" hidden="1">
      <c r="A233" s="87"/>
      <c r="B233" s="77"/>
      <c r="C233" s="77"/>
      <c r="D233" s="91"/>
      <c r="E233" s="91"/>
      <c r="F233" s="77"/>
      <c r="G233" s="77"/>
      <c r="H233" s="554"/>
    </row>
    <row r="234" spans="1:8" ht="11.25" customHeight="1" hidden="1">
      <c r="A234" s="87"/>
      <c r="B234" s="77"/>
      <c r="C234" s="77"/>
      <c r="D234" s="91"/>
      <c r="E234" s="91"/>
      <c r="F234" s="77"/>
      <c r="G234" s="77"/>
      <c r="H234" s="554"/>
    </row>
    <row r="235" spans="1:8" ht="11.25" customHeight="1" hidden="1">
      <c r="A235" s="87"/>
      <c r="B235" s="77"/>
      <c r="C235" s="77"/>
      <c r="D235" s="91"/>
      <c r="E235" s="91"/>
      <c r="F235" s="77"/>
      <c r="G235" s="77"/>
      <c r="H235" s="554"/>
    </row>
    <row r="236" spans="1:8" ht="11.25" customHeight="1" hidden="1">
      <c r="A236" s="87"/>
      <c r="B236" s="77"/>
      <c r="C236" s="77"/>
      <c r="D236" s="91"/>
      <c r="E236" s="91"/>
      <c r="F236" s="77"/>
      <c r="G236" s="77"/>
      <c r="H236" s="554"/>
    </row>
    <row r="237" spans="1:8" ht="11.25" customHeight="1" hidden="1">
      <c r="A237" s="87"/>
      <c r="B237" s="77"/>
      <c r="C237" s="77"/>
      <c r="D237" s="91"/>
      <c r="E237" s="91"/>
      <c r="F237" s="77"/>
      <c r="G237" s="77"/>
      <c r="H237" s="554"/>
    </row>
    <row r="238" spans="1:8" ht="11.25" customHeight="1" hidden="1">
      <c r="A238" s="87"/>
      <c r="B238" s="77"/>
      <c r="C238" s="77"/>
      <c r="D238" s="91"/>
      <c r="E238" s="91"/>
      <c r="F238" s="77"/>
      <c r="G238" s="77"/>
      <c r="H238" s="554"/>
    </row>
    <row r="239" spans="1:8" ht="11.25" customHeight="1" hidden="1">
      <c r="A239" s="87"/>
      <c r="B239" s="77"/>
      <c r="C239" s="77"/>
      <c r="D239" s="91"/>
      <c r="E239" s="91"/>
      <c r="F239" s="77"/>
      <c r="G239" s="77"/>
      <c r="H239" s="554"/>
    </row>
    <row r="240" spans="1:8" ht="11.25" customHeight="1" hidden="1">
      <c r="A240" s="721" t="s">
        <v>791</v>
      </c>
      <c r="B240" s="722" t="s">
        <v>602</v>
      </c>
      <c r="C240" s="679"/>
      <c r="D240" s="679"/>
      <c r="E240" s="606"/>
      <c r="F240" s="248"/>
      <c r="G240" s="248"/>
      <c r="H240" s="248"/>
    </row>
    <row r="241" spans="1:8" ht="25.5" customHeight="1" hidden="1">
      <c r="A241" s="723" t="s">
        <v>603</v>
      </c>
      <c r="B241" s="720"/>
      <c r="C241" s="51"/>
      <c r="D241" s="51"/>
      <c r="E241" s="606"/>
      <c r="F241" s="91"/>
      <c r="G241" s="91"/>
      <c r="H241" s="91"/>
    </row>
    <row r="242" spans="1:8" ht="11.25" customHeight="1">
      <c r="A242" s="790" t="s">
        <v>1065</v>
      </c>
      <c r="B242" s="800"/>
      <c r="C242" s="800"/>
      <c r="D242" s="800"/>
      <c r="E242" s="800"/>
      <c r="F242" s="800"/>
      <c r="G242" s="800"/>
      <c r="H242" s="800"/>
    </row>
    <row r="247" spans="1:8" ht="11.25" customHeight="1">
      <c r="A247" s="610" t="s">
        <v>1056</v>
      </c>
      <c r="B247" s="847" t="s">
        <v>1058</v>
      </c>
      <c r="C247" s="847"/>
      <c r="D247" s="847"/>
      <c r="E247" s="365"/>
      <c r="F247" s="848" t="s">
        <v>1060</v>
      </c>
      <c r="G247" s="848"/>
      <c r="H247" s="365"/>
    </row>
    <row r="248" spans="1:8" ht="11.25" customHeight="1">
      <c r="A248" s="610" t="s">
        <v>1057</v>
      </c>
      <c r="B248" s="847" t="s">
        <v>1059</v>
      </c>
      <c r="C248" s="847"/>
      <c r="D248" s="847"/>
      <c r="E248" s="365"/>
      <c r="F248" s="724" t="s">
        <v>1061</v>
      </c>
      <c r="G248" s="724"/>
      <c r="H248" s="365"/>
    </row>
    <row r="249" spans="2:7" ht="11.25" customHeight="1">
      <c r="B249" s="847" t="s">
        <v>1072</v>
      </c>
      <c r="C249" s="847"/>
      <c r="D249" s="847"/>
      <c r="F249" s="847" t="s">
        <v>1073</v>
      </c>
      <c r="G249" s="847"/>
    </row>
  </sheetData>
  <sheetProtection/>
  <mergeCells count="41">
    <mergeCell ref="A11:D11"/>
    <mergeCell ref="A13:D13"/>
    <mergeCell ref="A14:D14"/>
    <mergeCell ref="B18:B20"/>
    <mergeCell ref="A65:A69"/>
    <mergeCell ref="A187:A188"/>
    <mergeCell ref="D66:D69"/>
    <mergeCell ref="C18:C20"/>
    <mergeCell ref="B110:B111"/>
    <mergeCell ref="A227:C228"/>
    <mergeCell ref="B229:C229"/>
    <mergeCell ref="B199:B201"/>
    <mergeCell ref="A197:D198"/>
    <mergeCell ref="A129:A130"/>
    <mergeCell ref="B129:B130"/>
    <mergeCell ref="B161:B163"/>
    <mergeCell ref="B187:B188"/>
    <mergeCell ref="B101:B102"/>
    <mergeCell ref="G209:H209"/>
    <mergeCell ref="H210:H211"/>
    <mergeCell ref="A110:A111"/>
    <mergeCell ref="F66:F69"/>
    <mergeCell ref="G66:H68"/>
    <mergeCell ref="B137:C137"/>
    <mergeCell ref="A135:C136"/>
    <mergeCell ref="B65:B69"/>
    <mergeCell ref="C65:H65"/>
    <mergeCell ref="E66:E69"/>
    <mergeCell ref="A101:A102"/>
    <mergeCell ref="B248:D248"/>
    <mergeCell ref="C199:D199"/>
    <mergeCell ref="C209:D209"/>
    <mergeCell ref="E209:F209"/>
    <mergeCell ref="C66:C69"/>
    <mergeCell ref="G210:G211"/>
    <mergeCell ref="B249:D249"/>
    <mergeCell ref="B247:D247"/>
    <mergeCell ref="F247:G247"/>
    <mergeCell ref="F249:G249"/>
    <mergeCell ref="A242:H242"/>
    <mergeCell ref="E232:H232"/>
  </mergeCells>
  <printOptions horizontalCentered="1"/>
  <pageMargins left="0.31496062992125984" right="0.2755905511811024" top="0.5905511811023623" bottom="0.3937007874015748" header="0" footer="0.1968503937007874"/>
  <pageSetup horizontalDpi="600" verticalDpi="600" orientation="landscape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50"/>
  <sheetViews>
    <sheetView showGridLines="0" zoomScalePageLayoutView="0" workbookViewId="0" topLeftCell="A1">
      <selection activeCell="A1" sqref="A1"/>
    </sheetView>
  </sheetViews>
  <sheetFormatPr defaultColWidth="3.28125" defaultRowHeight="11.25" customHeight="1"/>
  <cols>
    <col min="1" max="1" width="51.00390625" style="77" customWidth="1"/>
    <col min="2" max="2" width="10.8515625" style="77" customWidth="1"/>
    <col min="3" max="3" width="12.140625" style="77" customWidth="1"/>
    <col min="4" max="4" width="12.00390625" style="77" bestFit="1" customWidth="1"/>
    <col min="5" max="6" width="9.8515625" style="77" bestFit="1" customWidth="1"/>
    <col min="7" max="7" width="10.8515625" style="77" customWidth="1"/>
    <col min="8" max="8" width="11.7109375" style="77" customWidth="1"/>
    <col min="9" max="10" width="12.00390625" style="77" bestFit="1" customWidth="1"/>
    <col min="11" max="11" width="11.140625" style="77" bestFit="1" customWidth="1"/>
    <col min="12" max="12" width="12.00390625" style="77" bestFit="1" customWidth="1"/>
    <col min="13" max="13" width="14.140625" style="87" bestFit="1" customWidth="1"/>
    <col min="14" max="16384" width="3.28125" style="87" customWidth="1"/>
  </cols>
  <sheetData>
    <row r="1" ht="12.75"/>
    <row r="2" ht="25.5" customHeight="1">
      <c r="A2" s="79" t="s">
        <v>1051</v>
      </c>
    </row>
    <row r="3" ht="15.75" customHeight="1">
      <c r="A3" s="80" t="s">
        <v>1052</v>
      </c>
    </row>
    <row r="4" ht="15.75" customHeight="1">
      <c r="A4" s="80" t="s">
        <v>1053</v>
      </c>
    </row>
    <row r="5" ht="15.75" customHeight="1">
      <c r="A5" s="80" t="s">
        <v>1054</v>
      </c>
    </row>
    <row r="6" spans="1:12" ht="15.75">
      <c r="A6" s="42" t="s">
        <v>336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ht="12.75"/>
    <row r="8" spans="1:12" s="181" customFormat="1" ht="15.75">
      <c r="A8" s="185" t="s">
        <v>1051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.75">
      <c r="A9" s="83" t="s">
        <v>68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2.75">
      <c r="A10" s="46" t="s">
        <v>158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807" t="s">
        <v>70</v>
      </c>
      <c r="B11" s="807"/>
      <c r="C11" s="807"/>
      <c r="D11" s="807"/>
      <c r="E11" s="807"/>
      <c r="F11" s="807"/>
      <c r="G11" s="807"/>
      <c r="H11" s="807"/>
      <c r="I11" s="807"/>
      <c r="J11" s="807"/>
      <c r="K11" s="807"/>
      <c r="L11" s="807"/>
    </row>
    <row r="12" spans="1:12" ht="12.75">
      <c r="A12" s="183" t="s">
        <v>1055</v>
      </c>
      <c r="B12" s="40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2.75" hidden="1">
      <c r="A13" s="807"/>
      <c r="B13" s="807"/>
      <c r="C13" s="807"/>
      <c r="D13" s="807"/>
      <c r="E13" s="807"/>
      <c r="F13" s="807"/>
      <c r="G13" s="807"/>
      <c r="H13" s="807"/>
      <c r="I13" s="807"/>
      <c r="J13" s="807"/>
      <c r="K13" s="807"/>
      <c r="L13" s="807"/>
    </row>
    <row r="14" spans="1:12" ht="12.75" hidden="1">
      <c r="A14" s="807"/>
      <c r="B14" s="807"/>
      <c r="C14" s="807"/>
      <c r="D14" s="807"/>
      <c r="E14" s="807"/>
      <c r="F14" s="807"/>
      <c r="G14" s="807"/>
      <c r="H14" s="807"/>
      <c r="I14" s="807"/>
      <c r="J14" s="807"/>
      <c r="K14" s="807"/>
      <c r="L14" s="807"/>
    </row>
    <row r="15" spans="1:12" ht="12.75">
      <c r="A15" s="49"/>
      <c r="B15" s="49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3" ht="12.75">
      <c r="A16" s="409" t="s">
        <v>337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53"/>
      <c r="M16" s="53" t="s">
        <v>607</v>
      </c>
    </row>
    <row r="17" spans="1:13" ht="24.75" customHeight="1">
      <c r="A17" s="54"/>
      <c r="B17" s="906" t="s">
        <v>488</v>
      </c>
      <c r="C17" s="907"/>
      <c r="D17" s="907"/>
      <c r="E17" s="907"/>
      <c r="F17" s="908"/>
      <c r="G17" s="812" t="s">
        <v>311</v>
      </c>
      <c r="H17" s="909"/>
      <c r="I17" s="909"/>
      <c r="J17" s="909"/>
      <c r="K17" s="909"/>
      <c r="L17" s="910"/>
      <c r="M17" s="828" t="s">
        <v>485</v>
      </c>
    </row>
    <row r="18" spans="1:13" ht="12.75">
      <c r="A18" s="593"/>
      <c r="B18" s="903" t="s">
        <v>159</v>
      </c>
      <c r="C18" s="903"/>
      <c r="D18" s="30"/>
      <c r="E18" s="30"/>
      <c r="F18" s="474"/>
      <c r="G18" s="904" t="s">
        <v>159</v>
      </c>
      <c r="H18" s="905"/>
      <c r="I18" s="30"/>
      <c r="J18" s="30"/>
      <c r="K18" s="30"/>
      <c r="L18" s="474"/>
      <c r="M18" s="829"/>
    </row>
    <row r="19" spans="1:13" ht="12.75">
      <c r="A19" s="132" t="s">
        <v>160</v>
      </c>
      <c r="B19" s="828" t="s">
        <v>630</v>
      </c>
      <c r="C19" s="828" t="s">
        <v>629</v>
      </c>
      <c r="D19" s="33" t="s">
        <v>162</v>
      </c>
      <c r="E19" s="33" t="s">
        <v>161</v>
      </c>
      <c r="F19" s="476" t="s">
        <v>469</v>
      </c>
      <c r="G19" s="828" t="s">
        <v>630</v>
      </c>
      <c r="H19" s="828" t="s">
        <v>629</v>
      </c>
      <c r="I19" s="33" t="s">
        <v>470</v>
      </c>
      <c r="J19" s="33" t="s">
        <v>162</v>
      </c>
      <c r="K19" s="33" t="s">
        <v>161</v>
      </c>
      <c r="L19" s="476" t="s">
        <v>469</v>
      </c>
      <c r="M19" s="829"/>
    </row>
    <row r="20" spans="1:13" ht="12.75">
      <c r="A20" s="593"/>
      <c r="B20" s="832"/>
      <c r="C20" s="832"/>
      <c r="D20" s="415"/>
      <c r="E20" s="415"/>
      <c r="F20" s="476" t="s">
        <v>79</v>
      </c>
      <c r="G20" s="832" t="s">
        <v>163</v>
      </c>
      <c r="H20" s="832" t="s">
        <v>164</v>
      </c>
      <c r="I20" s="415"/>
      <c r="J20" s="415"/>
      <c r="K20" s="415"/>
      <c r="L20" s="476" t="s">
        <v>80</v>
      </c>
      <c r="M20" s="829"/>
    </row>
    <row r="21" spans="1:13" s="594" customFormat="1" ht="26.25" customHeight="1">
      <c r="A21" s="60"/>
      <c r="B21" s="833"/>
      <c r="C21" s="833"/>
      <c r="D21" s="35"/>
      <c r="E21" s="35"/>
      <c r="F21" s="479"/>
      <c r="G21" s="833"/>
      <c r="H21" s="833" t="s">
        <v>165</v>
      </c>
      <c r="I21" s="35"/>
      <c r="J21" s="35"/>
      <c r="K21" s="35"/>
      <c r="L21" s="479"/>
      <c r="M21" s="830"/>
    </row>
    <row r="22" spans="1:13" ht="12.75">
      <c r="A22" s="49" t="s">
        <v>66</v>
      </c>
      <c r="B22" s="177">
        <f aca="true" t="shared" si="0" ref="B22:M22">B23+B24</f>
        <v>0</v>
      </c>
      <c r="C22" s="177">
        <f t="shared" si="0"/>
        <v>15225873.209999999</v>
      </c>
      <c r="D22" s="177">
        <f t="shared" si="0"/>
        <v>15079206.94</v>
      </c>
      <c r="E22" s="177">
        <f t="shared" si="0"/>
        <v>1837</v>
      </c>
      <c r="F22" s="177">
        <f t="shared" si="0"/>
        <v>144829.26999999955</v>
      </c>
      <c r="G22" s="177">
        <f t="shared" si="0"/>
        <v>1867254.4</v>
      </c>
      <c r="H22" s="177">
        <f t="shared" si="0"/>
        <v>69032437.65</v>
      </c>
      <c r="I22" s="177">
        <f t="shared" si="0"/>
        <v>51258204.37</v>
      </c>
      <c r="J22" s="177">
        <f t="shared" si="0"/>
        <v>49784312.19</v>
      </c>
      <c r="K22" s="178">
        <f t="shared" si="0"/>
        <v>5553632.26</v>
      </c>
      <c r="L22" s="178">
        <f t="shared" si="0"/>
        <v>15561747.599999996</v>
      </c>
      <c r="M22" s="155">
        <f t="shared" si="0"/>
        <v>15706576.869999995</v>
      </c>
    </row>
    <row r="23" spans="1:13" ht="12.75">
      <c r="A23" s="49" t="s">
        <v>487</v>
      </c>
      <c r="B23" s="177">
        <v>0</v>
      </c>
      <c r="C23" s="177">
        <v>15216617.12</v>
      </c>
      <c r="D23" s="177">
        <v>15071787.85</v>
      </c>
      <c r="E23" s="177">
        <v>0</v>
      </c>
      <c r="F23" s="177">
        <f>B23+C23-D23-E23</f>
        <v>144829.26999999955</v>
      </c>
      <c r="G23" s="177">
        <v>1853507.74</v>
      </c>
      <c r="H23" s="177">
        <v>67460608.2</v>
      </c>
      <c r="I23" s="177">
        <v>50641081.46</v>
      </c>
      <c r="J23" s="177">
        <v>49168769.28</v>
      </c>
      <c r="K23" s="178">
        <v>5549705.71</v>
      </c>
      <c r="L23" s="178">
        <f>G23+H23-J23-K23</f>
        <v>14595640.949999996</v>
      </c>
      <c r="M23" s="177">
        <f>F23+L23</f>
        <v>14740470.219999995</v>
      </c>
    </row>
    <row r="24" spans="1:13" ht="12.75">
      <c r="A24" s="49" t="s">
        <v>489</v>
      </c>
      <c r="B24" s="177">
        <f aca="true" t="shared" si="1" ref="B24:M24">SUM(B25:B26)</f>
        <v>0</v>
      </c>
      <c r="C24" s="177">
        <f t="shared" si="1"/>
        <v>9256.09</v>
      </c>
      <c r="D24" s="177">
        <f t="shared" si="1"/>
        <v>7419.09</v>
      </c>
      <c r="E24" s="177">
        <f t="shared" si="1"/>
        <v>1837</v>
      </c>
      <c r="F24" s="177">
        <f t="shared" si="1"/>
        <v>0</v>
      </c>
      <c r="G24" s="177">
        <f t="shared" si="1"/>
        <v>13746.66</v>
      </c>
      <c r="H24" s="177">
        <f t="shared" si="1"/>
        <v>1571829.45</v>
      </c>
      <c r="I24" s="177">
        <f t="shared" si="1"/>
        <v>617122.91</v>
      </c>
      <c r="J24" s="177">
        <f t="shared" si="1"/>
        <v>615542.91</v>
      </c>
      <c r="K24" s="178">
        <f t="shared" si="1"/>
        <v>3926.55</v>
      </c>
      <c r="L24" s="178">
        <f t="shared" si="1"/>
        <v>966106.6499999998</v>
      </c>
      <c r="M24" s="177">
        <f t="shared" si="1"/>
        <v>966106.6499999998</v>
      </c>
    </row>
    <row r="25" spans="1:13" ht="12.75" hidden="1">
      <c r="A25" s="49" t="s">
        <v>631</v>
      </c>
      <c r="B25" s="177">
        <v>0</v>
      </c>
      <c r="C25" s="177">
        <v>9256.09</v>
      </c>
      <c r="D25" s="509">
        <v>7419.09</v>
      </c>
      <c r="E25" s="509">
        <v>1837</v>
      </c>
      <c r="F25" s="177">
        <f>B25+C25-D25-E25</f>
        <v>0</v>
      </c>
      <c r="G25" s="178">
        <v>13746.66</v>
      </c>
      <c r="H25" s="178">
        <v>1571829.45</v>
      </c>
      <c r="I25" s="178">
        <v>617122.91</v>
      </c>
      <c r="J25" s="178">
        <v>615542.91</v>
      </c>
      <c r="K25" s="178">
        <v>3926.55</v>
      </c>
      <c r="L25" s="178">
        <f>G25+H25-J25-K25</f>
        <v>966106.6499999998</v>
      </c>
      <c r="M25" s="177">
        <f>F25+L25</f>
        <v>966106.6499999998</v>
      </c>
    </row>
    <row r="26" spans="1:13" ht="12.75" hidden="1">
      <c r="A26" s="49" t="s">
        <v>632</v>
      </c>
      <c r="B26" s="177"/>
      <c r="C26" s="595"/>
      <c r="D26" s="596"/>
      <c r="E26" s="596"/>
      <c r="F26" s="595">
        <f>B26+C26-D26-E26</f>
        <v>0</v>
      </c>
      <c r="G26" s="597"/>
      <c r="H26" s="597"/>
      <c r="I26" s="597"/>
      <c r="J26" s="597"/>
      <c r="K26" s="597"/>
      <c r="L26" s="597">
        <f>G26+H26-J26-K26</f>
        <v>0</v>
      </c>
      <c r="M26" s="177">
        <f>F26+L26</f>
        <v>0</v>
      </c>
    </row>
    <row r="27" spans="1:13" ht="12.75">
      <c r="A27" s="49" t="s">
        <v>67</v>
      </c>
      <c r="B27" s="177">
        <f aca="true" t="shared" si="2" ref="B27:M27">B39</f>
        <v>0</v>
      </c>
      <c r="C27" s="177">
        <f t="shared" si="2"/>
        <v>13676275.84</v>
      </c>
      <c r="D27" s="177">
        <f t="shared" si="2"/>
        <v>13676275.84</v>
      </c>
      <c r="E27" s="177">
        <f t="shared" si="2"/>
        <v>0</v>
      </c>
      <c r="F27" s="177">
        <f t="shared" si="2"/>
        <v>0</v>
      </c>
      <c r="G27" s="177">
        <f t="shared" si="2"/>
        <v>0</v>
      </c>
      <c r="H27" s="177">
        <f t="shared" si="2"/>
        <v>654171.8799999999</v>
      </c>
      <c r="I27" s="177">
        <f t="shared" si="2"/>
        <v>503593.25</v>
      </c>
      <c r="J27" s="177">
        <f t="shared" si="2"/>
        <v>502456.15</v>
      </c>
      <c r="K27" s="178">
        <f t="shared" si="2"/>
        <v>97021.81</v>
      </c>
      <c r="L27" s="178">
        <f t="shared" si="2"/>
        <v>54693.91999999994</v>
      </c>
      <c r="M27" s="177">
        <f t="shared" si="2"/>
        <v>54693.91999999994</v>
      </c>
    </row>
    <row r="28" spans="1:13" ht="12.75">
      <c r="A28" s="598" t="s">
        <v>168</v>
      </c>
      <c r="B28" s="599">
        <f aca="true" t="shared" si="3" ref="B28:M28">B22+B27</f>
        <v>0</v>
      </c>
      <c r="C28" s="600">
        <f t="shared" si="3"/>
        <v>28902149.049999997</v>
      </c>
      <c r="D28" s="600">
        <f t="shared" si="3"/>
        <v>28755482.78</v>
      </c>
      <c r="E28" s="600">
        <f t="shared" si="3"/>
        <v>1837</v>
      </c>
      <c r="F28" s="599">
        <f t="shared" si="3"/>
        <v>144829.26999999955</v>
      </c>
      <c r="G28" s="600">
        <f t="shared" si="3"/>
        <v>1867254.4</v>
      </c>
      <c r="H28" s="600">
        <f t="shared" si="3"/>
        <v>69686609.53</v>
      </c>
      <c r="I28" s="600">
        <f t="shared" si="3"/>
        <v>51761797.62</v>
      </c>
      <c r="J28" s="600">
        <f t="shared" si="3"/>
        <v>50286768.339999996</v>
      </c>
      <c r="K28" s="600">
        <f t="shared" si="3"/>
        <v>5650654.069999999</v>
      </c>
      <c r="L28" s="600">
        <f t="shared" si="3"/>
        <v>15616441.519999996</v>
      </c>
      <c r="M28" s="599">
        <f t="shared" si="3"/>
        <v>15761270.789999995</v>
      </c>
    </row>
    <row r="29" spans="1:13" ht="12.75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</row>
    <row r="30" ht="10.5" customHeight="1">
      <c r="A30" s="91"/>
    </row>
    <row r="31" ht="11.25" customHeight="1" hidden="1"/>
    <row r="32" ht="11.25" customHeight="1" hidden="1"/>
    <row r="33" ht="11.25" customHeight="1" hidden="1"/>
    <row r="34" spans="1:13" ht="27" customHeight="1">
      <c r="A34" s="54"/>
      <c r="B34" s="906" t="s">
        <v>488</v>
      </c>
      <c r="C34" s="907"/>
      <c r="D34" s="907"/>
      <c r="E34" s="907"/>
      <c r="F34" s="908"/>
      <c r="G34" s="812" t="s">
        <v>311</v>
      </c>
      <c r="H34" s="909"/>
      <c r="I34" s="909"/>
      <c r="J34" s="909"/>
      <c r="K34" s="909"/>
      <c r="L34" s="910"/>
      <c r="M34" s="828" t="s">
        <v>485</v>
      </c>
    </row>
    <row r="35" spans="1:13" ht="12.75">
      <c r="A35" s="593"/>
      <c r="B35" s="903" t="s">
        <v>159</v>
      </c>
      <c r="C35" s="903"/>
      <c r="D35" s="30"/>
      <c r="E35" s="30"/>
      <c r="F35" s="474"/>
      <c r="G35" s="904" t="s">
        <v>159</v>
      </c>
      <c r="H35" s="905"/>
      <c r="I35" s="30"/>
      <c r="J35" s="30"/>
      <c r="K35" s="30"/>
      <c r="L35" s="474"/>
      <c r="M35" s="829"/>
    </row>
    <row r="36" spans="1:13" ht="12.75">
      <c r="A36" s="132" t="s">
        <v>642</v>
      </c>
      <c r="B36" s="828" t="s">
        <v>630</v>
      </c>
      <c r="C36" s="828" t="s">
        <v>629</v>
      </c>
      <c r="D36" s="33" t="s">
        <v>162</v>
      </c>
      <c r="E36" s="33" t="s">
        <v>161</v>
      </c>
      <c r="F36" s="476" t="s">
        <v>469</v>
      </c>
      <c r="G36" s="828" t="s">
        <v>630</v>
      </c>
      <c r="H36" s="828" t="s">
        <v>629</v>
      </c>
      <c r="I36" s="33" t="s">
        <v>470</v>
      </c>
      <c r="J36" s="33" t="s">
        <v>162</v>
      </c>
      <c r="K36" s="33" t="s">
        <v>161</v>
      </c>
      <c r="L36" s="476" t="s">
        <v>469</v>
      </c>
      <c r="M36" s="829"/>
    </row>
    <row r="37" spans="1:13" ht="12.75">
      <c r="A37" s="593"/>
      <c r="B37" s="832"/>
      <c r="C37" s="832"/>
      <c r="D37" s="415"/>
      <c r="E37" s="415"/>
      <c r="F37" s="476" t="s">
        <v>79</v>
      </c>
      <c r="G37" s="832" t="s">
        <v>163</v>
      </c>
      <c r="H37" s="832" t="s">
        <v>164</v>
      </c>
      <c r="I37" s="415"/>
      <c r="J37" s="415"/>
      <c r="K37" s="415"/>
      <c r="L37" s="476" t="s">
        <v>80</v>
      </c>
      <c r="M37" s="829"/>
    </row>
    <row r="38" spans="1:13" ht="12.75">
      <c r="A38" s="60"/>
      <c r="B38" s="833"/>
      <c r="C38" s="833"/>
      <c r="D38" s="35"/>
      <c r="E38" s="35"/>
      <c r="F38" s="479"/>
      <c r="G38" s="833"/>
      <c r="H38" s="833" t="s">
        <v>165</v>
      </c>
      <c r="I38" s="35"/>
      <c r="J38" s="35"/>
      <c r="K38" s="35"/>
      <c r="L38" s="479"/>
      <c r="M38" s="830"/>
    </row>
    <row r="39" spans="1:13" ht="11.25" customHeight="1">
      <c r="A39" s="49" t="s">
        <v>67</v>
      </c>
      <c r="B39" s="177">
        <f aca="true" t="shared" si="4" ref="B39:M39">B40+B41</f>
        <v>0</v>
      </c>
      <c r="C39" s="177">
        <f t="shared" si="4"/>
        <v>13676275.84</v>
      </c>
      <c r="D39" s="177">
        <f t="shared" si="4"/>
        <v>13676275.84</v>
      </c>
      <c r="E39" s="177">
        <f t="shared" si="4"/>
        <v>0</v>
      </c>
      <c r="F39" s="177">
        <f t="shared" si="4"/>
        <v>0</v>
      </c>
      <c r="G39" s="177">
        <f t="shared" si="4"/>
        <v>0</v>
      </c>
      <c r="H39" s="177">
        <f t="shared" si="4"/>
        <v>654171.8799999999</v>
      </c>
      <c r="I39" s="177">
        <f t="shared" si="4"/>
        <v>503593.25</v>
      </c>
      <c r="J39" s="177">
        <f t="shared" si="4"/>
        <v>502456.15</v>
      </c>
      <c r="K39" s="178">
        <f t="shared" si="4"/>
        <v>97021.81</v>
      </c>
      <c r="L39" s="178">
        <f t="shared" si="4"/>
        <v>54693.91999999994</v>
      </c>
      <c r="M39" s="155">
        <f t="shared" si="4"/>
        <v>54693.91999999994</v>
      </c>
    </row>
    <row r="40" spans="1:13" ht="11.25" customHeight="1">
      <c r="A40" s="49" t="s">
        <v>487</v>
      </c>
      <c r="B40" s="177">
        <v>0</v>
      </c>
      <c r="C40" s="177">
        <v>13676275.84</v>
      </c>
      <c r="D40" s="177">
        <v>13676275.84</v>
      </c>
      <c r="E40" s="177">
        <v>0</v>
      </c>
      <c r="F40" s="177">
        <f>B40+C40-D40-E40</f>
        <v>0</v>
      </c>
      <c r="G40" s="177">
        <v>0</v>
      </c>
      <c r="H40" s="177">
        <v>564933.45</v>
      </c>
      <c r="I40" s="177">
        <v>432788.44</v>
      </c>
      <c r="J40" s="177">
        <v>432788.44</v>
      </c>
      <c r="K40" s="178">
        <v>97021.81</v>
      </c>
      <c r="L40" s="178">
        <f>G40+H40-J40-K40</f>
        <v>35123.19999999995</v>
      </c>
      <c r="M40" s="177">
        <f>F40+L40</f>
        <v>35123.19999999995</v>
      </c>
    </row>
    <row r="41" spans="1:13" ht="11.25" customHeight="1">
      <c r="A41" s="49" t="s">
        <v>489</v>
      </c>
      <c r="B41" s="177">
        <f aca="true" t="shared" si="5" ref="B41:M41">SUM(B42:B43)</f>
        <v>0</v>
      </c>
      <c r="C41" s="177">
        <f t="shared" si="5"/>
        <v>0</v>
      </c>
      <c r="D41" s="177">
        <f t="shared" si="5"/>
        <v>0</v>
      </c>
      <c r="E41" s="177">
        <f t="shared" si="5"/>
        <v>0</v>
      </c>
      <c r="F41" s="177">
        <f t="shared" si="5"/>
        <v>0</v>
      </c>
      <c r="G41" s="177">
        <f t="shared" si="5"/>
        <v>0</v>
      </c>
      <c r="H41" s="177">
        <f t="shared" si="5"/>
        <v>89238.43</v>
      </c>
      <c r="I41" s="177">
        <f t="shared" si="5"/>
        <v>70804.81</v>
      </c>
      <c r="J41" s="177">
        <f t="shared" si="5"/>
        <v>69667.71</v>
      </c>
      <c r="K41" s="178">
        <f t="shared" si="5"/>
        <v>0</v>
      </c>
      <c r="L41" s="178">
        <f t="shared" si="5"/>
        <v>19570.719999999987</v>
      </c>
      <c r="M41" s="177">
        <f t="shared" si="5"/>
        <v>19570.719999999987</v>
      </c>
    </row>
    <row r="42" spans="1:13" ht="11.25" customHeight="1" hidden="1">
      <c r="A42" s="49" t="s">
        <v>631</v>
      </c>
      <c r="B42" s="28">
        <v>0</v>
      </c>
      <c r="C42" s="28">
        <v>0</v>
      </c>
      <c r="D42" s="66">
        <v>0</v>
      </c>
      <c r="E42" s="66">
        <v>0</v>
      </c>
      <c r="F42" s="28">
        <f>B42+C42-D42-E42</f>
        <v>0</v>
      </c>
      <c r="G42" s="29">
        <v>0</v>
      </c>
      <c r="H42" s="29">
        <v>89238.43</v>
      </c>
      <c r="I42" s="29">
        <v>70804.81</v>
      </c>
      <c r="J42" s="29">
        <v>69667.71</v>
      </c>
      <c r="K42" s="29">
        <v>0</v>
      </c>
      <c r="L42" s="29">
        <f>G42+H42-J42-K42</f>
        <v>19570.719999999987</v>
      </c>
      <c r="M42" s="28">
        <f>F42+L42</f>
        <v>19570.719999999987</v>
      </c>
    </row>
    <row r="43" spans="1:13" ht="11.25" customHeight="1" hidden="1">
      <c r="A43" s="49" t="s">
        <v>632</v>
      </c>
      <c r="B43" s="28"/>
      <c r="C43" s="601"/>
      <c r="D43" s="602"/>
      <c r="E43" s="602"/>
      <c r="F43" s="28">
        <f>B43+C43-D43-E43</f>
        <v>0</v>
      </c>
      <c r="G43" s="603"/>
      <c r="H43" s="603"/>
      <c r="I43" s="603"/>
      <c r="J43" s="603"/>
      <c r="K43" s="603"/>
      <c r="L43" s="29">
        <f>G43+H43-J43-K43</f>
        <v>0</v>
      </c>
      <c r="M43" s="28">
        <f>F43+L43</f>
        <v>0</v>
      </c>
    </row>
    <row r="44" spans="1:13" ht="11.25" customHeight="1">
      <c r="A44" s="912" t="s">
        <v>1066</v>
      </c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</row>
    <row r="48" spans="1:13" ht="11.25" customHeight="1">
      <c r="A48" s="73" t="s">
        <v>1056</v>
      </c>
      <c r="B48" s="74"/>
      <c r="D48" s="74"/>
      <c r="E48" s="792" t="s">
        <v>1058</v>
      </c>
      <c r="F48" s="792"/>
      <c r="G48" s="792"/>
      <c r="H48" s="792"/>
      <c r="J48" s="74" t="s">
        <v>1060</v>
      </c>
      <c r="L48" s="74"/>
      <c r="M48" s="74"/>
    </row>
    <row r="49" spans="1:13" ht="11.25" customHeight="1">
      <c r="A49" s="73" t="s">
        <v>1057</v>
      </c>
      <c r="B49" s="74"/>
      <c r="D49" s="74"/>
      <c r="E49" s="792" t="s">
        <v>1059</v>
      </c>
      <c r="F49" s="792"/>
      <c r="G49" s="792"/>
      <c r="H49" s="792"/>
      <c r="J49" s="73" t="s">
        <v>1061</v>
      </c>
      <c r="K49" s="85"/>
      <c r="L49" s="74"/>
      <c r="M49" s="74"/>
    </row>
    <row r="50" spans="5:13" ht="11.25" customHeight="1">
      <c r="E50" s="793" t="s">
        <v>1072</v>
      </c>
      <c r="F50" s="793"/>
      <c r="G50" s="793"/>
      <c r="H50" s="793"/>
      <c r="J50" s="77" t="s">
        <v>1073</v>
      </c>
      <c r="M50" s="77"/>
    </row>
  </sheetData>
  <sheetProtection/>
  <mergeCells count="26">
    <mergeCell ref="E48:H48"/>
    <mergeCell ref="E49:H49"/>
    <mergeCell ref="E50:H50"/>
    <mergeCell ref="C36:C38"/>
    <mergeCell ref="G36:G38"/>
    <mergeCell ref="H36:H38"/>
    <mergeCell ref="A44:M44"/>
    <mergeCell ref="M34:M38"/>
    <mergeCell ref="B35:C35"/>
    <mergeCell ref="G35:H35"/>
    <mergeCell ref="A11:L11"/>
    <mergeCell ref="A13:L13"/>
    <mergeCell ref="A14:L14"/>
    <mergeCell ref="B17:F17"/>
    <mergeCell ref="G17:L17"/>
    <mergeCell ref="B36:B38"/>
    <mergeCell ref="B34:F34"/>
    <mergeCell ref="G34:L34"/>
    <mergeCell ref="A29:M29"/>
    <mergeCell ref="B19:B21"/>
    <mergeCell ref="C19:C21"/>
    <mergeCell ref="G19:G21"/>
    <mergeCell ref="H19:H21"/>
    <mergeCell ref="M17:M21"/>
    <mergeCell ref="B18:C18"/>
    <mergeCell ref="G18:H18"/>
  </mergeCells>
  <printOptions horizontalCentered="1"/>
  <pageMargins left="0.1968503937007874" right="0.2755905511811024" top="0.5905511811023623" bottom="0.3937007874015748" header="0" footer="0.1968503937007874"/>
  <pageSetup horizontalDpi="300" verticalDpi="300" orientation="landscape" paperSize="9" scale="7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99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92.8515625" style="468" customWidth="1"/>
    <col min="2" max="4" width="15.28125" style="468" bestFit="1" customWidth="1"/>
    <col min="5" max="7" width="13.7109375" style="468" customWidth="1"/>
    <col min="8" max="8" width="18.8515625" style="468" customWidth="1"/>
    <col min="9" max="9" width="21.140625" style="468" customWidth="1"/>
    <col min="10" max="10" width="14.00390625" style="468" customWidth="1"/>
    <col min="11" max="11" width="14.140625" style="468" customWidth="1"/>
    <col min="12" max="16384" width="9.140625" style="468" customWidth="1"/>
  </cols>
  <sheetData>
    <row r="1" ht="12.75"/>
    <row r="2" ht="25.5" customHeight="1">
      <c r="A2" s="469" t="s">
        <v>1051</v>
      </c>
    </row>
    <row r="3" ht="15.75" customHeight="1">
      <c r="A3" s="470" t="s">
        <v>1052</v>
      </c>
    </row>
    <row r="4" ht="15.75" customHeight="1">
      <c r="A4" s="470" t="s">
        <v>1053</v>
      </c>
    </row>
    <row r="5" ht="15.75" customHeight="1">
      <c r="A5" s="470" t="s">
        <v>1054</v>
      </c>
    </row>
    <row r="6" spans="1:6" ht="15.75">
      <c r="A6" s="471" t="s">
        <v>558</v>
      </c>
      <c r="B6" s="471"/>
      <c r="C6" s="471"/>
      <c r="D6" s="471"/>
      <c r="E6" s="471"/>
      <c r="F6" s="471"/>
    </row>
    <row r="7" spans="1:6" ht="12.75">
      <c r="A7" s="472"/>
      <c r="B7" s="472"/>
      <c r="C7" s="472"/>
      <c r="D7" s="472"/>
      <c r="E7" s="472"/>
      <c r="F7" s="472"/>
    </row>
    <row r="8" spans="1:6" s="431" customFormat="1" ht="15.75">
      <c r="A8" s="435" t="s">
        <v>1051</v>
      </c>
      <c r="B8" s="436"/>
      <c r="C8" s="436"/>
      <c r="D8" s="436"/>
      <c r="E8" s="436"/>
      <c r="F8" s="436"/>
    </row>
    <row r="9" spans="1:6" s="367" customFormat="1" ht="12.75">
      <c r="A9" s="373" t="s">
        <v>68</v>
      </c>
      <c r="B9" s="373"/>
      <c r="C9" s="373"/>
      <c r="D9" s="373"/>
      <c r="E9" s="373"/>
      <c r="F9" s="373"/>
    </row>
    <row r="10" spans="1:6" s="367" customFormat="1" ht="12.75">
      <c r="A10" s="375" t="s">
        <v>189</v>
      </c>
      <c r="B10" s="375"/>
      <c r="C10" s="375"/>
      <c r="D10" s="375"/>
      <c r="E10" s="375"/>
      <c r="F10" s="375"/>
    </row>
    <row r="11" spans="1:6" s="367" customFormat="1" ht="12.75">
      <c r="A11" s="931" t="s">
        <v>70</v>
      </c>
      <c r="B11" s="931"/>
      <c r="C11" s="931"/>
      <c r="D11" s="931"/>
      <c r="E11" s="931"/>
      <c r="F11" s="931"/>
    </row>
    <row r="12" spans="1:2" s="367" customFormat="1" ht="12.75">
      <c r="A12" s="371" t="s">
        <v>1055</v>
      </c>
      <c r="B12" s="187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</row>
    <row r="13" spans="1:6" s="367" customFormat="1" ht="12.75" hidden="1">
      <c r="A13" s="931"/>
      <c r="B13" s="931"/>
      <c r="C13" s="931"/>
      <c r="D13" s="931"/>
      <c r="E13" s="931"/>
      <c r="F13" s="931"/>
    </row>
    <row r="14" spans="1:6" s="367" customFormat="1" ht="12.75" hidden="1">
      <c r="A14" s="931"/>
      <c r="B14" s="931"/>
      <c r="C14" s="931"/>
      <c r="D14" s="931"/>
      <c r="E14" s="931"/>
      <c r="F14" s="931"/>
    </row>
    <row r="15" spans="1:6" s="367" customFormat="1" ht="12.75">
      <c r="A15" s="373"/>
      <c r="B15" s="373"/>
      <c r="C15" s="373"/>
      <c r="D15" s="373"/>
      <c r="E15" s="373"/>
      <c r="F15" s="373"/>
    </row>
    <row r="16" spans="1:6" s="367" customFormat="1" ht="12.75">
      <c r="A16" s="367" t="s">
        <v>557</v>
      </c>
      <c r="B16" s="473"/>
      <c r="C16" s="473"/>
      <c r="D16" s="473"/>
      <c r="E16" s="377">
        <v>1</v>
      </c>
      <c r="F16" s="377"/>
    </row>
    <row r="17" spans="1:5" s="367" customFormat="1" ht="12.75">
      <c r="A17" s="932" t="s">
        <v>132</v>
      </c>
      <c r="B17" s="933"/>
      <c r="C17" s="933"/>
      <c r="D17" s="933"/>
      <c r="E17" s="934"/>
    </row>
    <row r="18" spans="1:5" s="367" customFormat="1" ht="12.75">
      <c r="A18" s="474"/>
      <c r="B18" s="475" t="s">
        <v>71</v>
      </c>
      <c r="C18" s="475" t="s">
        <v>71</v>
      </c>
      <c r="D18" s="852" t="s">
        <v>72</v>
      </c>
      <c r="E18" s="919"/>
    </row>
    <row r="19" spans="1:5" s="367" customFormat="1" ht="12.75">
      <c r="A19" s="476" t="s">
        <v>314</v>
      </c>
      <c r="B19" s="477" t="s">
        <v>74</v>
      </c>
      <c r="C19" s="477" t="s">
        <v>75</v>
      </c>
      <c r="D19" s="478" t="str">
        <f>CONCATENATE("Até o  ",B12)</f>
        <v>Até o  Bimestre</v>
      </c>
      <c r="E19" s="478" t="s">
        <v>77</v>
      </c>
    </row>
    <row r="20" spans="1:5" s="367" customFormat="1" ht="12.75">
      <c r="A20" s="479"/>
      <c r="B20" s="480"/>
      <c r="C20" s="480" t="s">
        <v>79</v>
      </c>
      <c r="D20" s="481" t="s">
        <v>80</v>
      </c>
      <c r="E20" s="481" t="s">
        <v>133</v>
      </c>
    </row>
    <row r="21" spans="1:8" s="367" customFormat="1" ht="12.75">
      <c r="A21" s="482" t="s">
        <v>134</v>
      </c>
      <c r="B21" s="178">
        <f>B22+B25+B28+B31</f>
        <v>285950000</v>
      </c>
      <c r="C21" s="178">
        <f>C22+C25+C28+C31</f>
        <v>285950000</v>
      </c>
      <c r="D21" s="177">
        <f>D22+D25+D28+D31</f>
        <v>112387206.75</v>
      </c>
      <c r="E21" s="155">
        <f aca="true" t="shared" si="0" ref="E21:E43">IF(C21&gt;0,D21/C21*100,0)</f>
        <v>39.30309730722154</v>
      </c>
      <c r="F21" s="483"/>
      <c r="G21" s="483"/>
      <c r="H21" s="483"/>
    </row>
    <row r="22" spans="1:8" s="367" customFormat="1" ht="12.75">
      <c r="A22" s="484" t="s">
        <v>556</v>
      </c>
      <c r="B22" s="178">
        <f>SUM(B23:B24)</f>
        <v>125856000</v>
      </c>
      <c r="C22" s="178">
        <f>SUM(C23:C24)</f>
        <v>125856000</v>
      </c>
      <c r="D22" s="177">
        <f>SUM(D23:D24)</f>
        <v>54088699.53</v>
      </c>
      <c r="E22" s="177">
        <f t="shared" si="0"/>
        <v>42.97665548722349</v>
      </c>
      <c r="F22" s="483"/>
      <c r="G22" s="483"/>
      <c r="H22" s="483"/>
    </row>
    <row r="23" spans="1:8" s="367" customFormat="1" ht="12.75">
      <c r="A23" s="484" t="s">
        <v>555</v>
      </c>
      <c r="B23" s="178">
        <v>109000000</v>
      </c>
      <c r="C23" s="178">
        <v>109000000</v>
      </c>
      <c r="D23" s="177">
        <v>48161658.04</v>
      </c>
      <c r="E23" s="177">
        <f t="shared" si="0"/>
        <v>44.18500737614679</v>
      </c>
      <c r="F23" s="483"/>
      <c r="G23" s="483"/>
      <c r="H23" s="483"/>
    </row>
    <row r="24" spans="1:8" s="367" customFormat="1" ht="12.75">
      <c r="A24" s="484" t="s">
        <v>821</v>
      </c>
      <c r="B24" s="178">
        <v>16856000</v>
      </c>
      <c r="C24" s="178">
        <v>16856000</v>
      </c>
      <c r="D24" s="177">
        <v>5927041.49</v>
      </c>
      <c r="E24" s="177">
        <f t="shared" si="0"/>
        <v>35.16279953725677</v>
      </c>
      <c r="F24" s="483"/>
      <c r="G24" s="483"/>
      <c r="H24" s="483"/>
    </row>
    <row r="25" spans="1:8" s="367" customFormat="1" ht="12.75">
      <c r="A25" s="484" t="s">
        <v>554</v>
      </c>
      <c r="B25" s="178">
        <f>SUM(B26:B27)</f>
        <v>26394000</v>
      </c>
      <c r="C25" s="178">
        <f>SUM(C26:C27)</f>
        <v>26394000</v>
      </c>
      <c r="D25" s="177">
        <f>SUM(D26:D27)</f>
        <v>15511902.120000001</v>
      </c>
      <c r="E25" s="177">
        <f t="shared" si="0"/>
        <v>58.770561945896794</v>
      </c>
      <c r="F25" s="483"/>
      <c r="G25" s="483"/>
      <c r="H25" s="483"/>
    </row>
    <row r="26" spans="1:8" s="367" customFormat="1" ht="12.75">
      <c r="A26" s="484" t="s">
        <v>553</v>
      </c>
      <c r="B26" s="178">
        <v>26000000</v>
      </c>
      <c r="C26" s="178">
        <v>26000000</v>
      </c>
      <c r="D26" s="177">
        <v>15222665.32</v>
      </c>
      <c r="E26" s="177">
        <f t="shared" si="0"/>
        <v>58.54871276923077</v>
      </c>
      <c r="F26" s="483"/>
      <c r="G26" s="483"/>
      <c r="H26" s="483"/>
    </row>
    <row r="27" spans="1:8" s="367" customFormat="1" ht="12.75">
      <c r="A27" s="484" t="s">
        <v>822</v>
      </c>
      <c r="B27" s="178">
        <v>394000</v>
      </c>
      <c r="C27" s="178">
        <v>394000</v>
      </c>
      <c r="D27" s="177">
        <v>289236.8</v>
      </c>
      <c r="E27" s="177">
        <f t="shared" si="0"/>
        <v>73.41035532994924</v>
      </c>
      <c r="F27" s="483"/>
      <c r="G27" s="483"/>
      <c r="H27" s="483"/>
    </row>
    <row r="28" spans="1:8" s="367" customFormat="1" ht="12.75">
      <c r="A28" s="484" t="s">
        <v>552</v>
      </c>
      <c r="B28" s="178">
        <f>SUM(B29:B30)</f>
        <v>95900000</v>
      </c>
      <c r="C28" s="178">
        <f>SUM(C29:C30)</f>
        <v>95900000</v>
      </c>
      <c r="D28" s="177">
        <f>SUM(D29:D30)</f>
        <v>32545829.1</v>
      </c>
      <c r="E28" s="177">
        <f t="shared" si="0"/>
        <v>33.937256621480714</v>
      </c>
      <c r="F28" s="483"/>
      <c r="G28" s="483"/>
      <c r="H28" s="483"/>
    </row>
    <row r="29" spans="1:8" s="367" customFormat="1" ht="12.75">
      <c r="A29" s="484" t="s">
        <v>551</v>
      </c>
      <c r="B29" s="178">
        <v>90400000</v>
      </c>
      <c r="C29" s="178">
        <v>90400000</v>
      </c>
      <c r="D29" s="177">
        <v>31119668.77</v>
      </c>
      <c r="E29" s="177">
        <f t="shared" si="0"/>
        <v>34.424412356194686</v>
      </c>
      <c r="F29" s="483"/>
      <c r="G29" s="483"/>
      <c r="H29" s="483"/>
    </row>
    <row r="30" spans="1:8" s="367" customFormat="1" ht="12.75">
      <c r="A30" s="484" t="s">
        <v>823</v>
      </c>
      <c r="B30" s="178">
        <v>5500000</v>
      </c>
      <c r="C30" s="178">
        <v>5500000</v>
      </c>
      <c r="D30" s="177">
        <v>1426160.33</v>
      </c>
      <c r="E30" s="177">
        <f t="shared" si="0"/>
        <v>25.93018781818182</v>
      </c>
      <c r="F30" s="483"/>
      <c r="G30" s="483"/>
      <c r="H30" s="483"/>
    </row>
    <row r="31" spans="1:8" s="367" customFormat="1" ht="12.75">
      <c r="A31" s="482" t="s">
        <v>824</v>
      </c>
      <c r="B31" s="178">
        <v>37800000</v>
      </c>
      <c r="C31" s="178">
        <v>37800000</v>
      </c>
      <c r="D31" s="177">
        <v>10240776</v>
      </c>
      <c r="E31" s="177">
        <f t="shared" si="0"/>
        <v>27.092</v>
      </c>
      <c r="F31" s="483"/>
      <c r="G31" s="483"/>
      <c r="H31" s="483"/>
    </row>
    <row r="32" spans="1:8" s="367" customFormat="1" ht="12.75">
      <c r="A32" s="482" t="s">
        <v>315</v>
      </c>
      <c r="B32" s="350">
        <f>B33+B37+B38+B39+B40+B41+B42</f>
        <v>407051000</v>
      </c>
      <c r="C32" s="178">
        <f>C33+C37+C38+C39+C40+C41+C42</f>
        <v>407051000</v>
      </c>
      <c r="D32" s="177">
        <f>D33+D37+D38+D39+D40+D41+D42</f>
        <v>157996941.27</v>
      </c>
      <c r="E32" s="177">
        <f t="shared" si="0"/>
        <v>38.815023490913916</v>
      </c>
      <c r="F32" s="483"/>
      <c r="G32" s="483"/>
      <c r="H32" s="483"/>
    </row>
    <row r="33" spans="1:8" s="367" customFormat="1" ht="12.75">
      <c r="A33" s="482" t="s">
        <v>550</v>
      </c>
      <c r="B33" s="350">
        <f>SUM(B34:B36)</f>
        <v>77050000</v>
      </c>
      <c r="C33" s="178">
        <f>SUM(C34:C36)</f>
        <v>77050000</v>
      </c>
      <c r="D33" s="177">
        <f>SUM(D34:D36)</f>
        <v>24737776.66</v>
      </c>
      <c r="E33" s="177">
        <f t="shared" si="0"/>
        <v>32.106134536015574</v>
      </c>
      <c r="F33" s="483"/>
      <c r="G33" s="483"/>
      <c r="H33" s="483"/>
    </row>
    <row r="34" spans="1:8" s="367" customFormat="1" ht="12.75">
      <c r="A34" s="482" t="s">
        <v>549</v>
      </c>
      <c r="B34" s="350">
        <v>71000000</v>
      </c>
      <c r="C34" s="178">
        <v>71000000</v>
      </c>
      <c r="D34" s="177">
        <v>24737776.66</v>
      </c>
      <c r="E34" s="177">
        <f t="shared" si="0"/>
        <v>34.84193895774648</v>
      </c>
      <c r="F34" s="483"/>
      <c r="G34" s="483"/>
      <c r="H34" s="483"/>
    </row>
    <row r="35" spans="1:8" s="367" customFormat="1" ht="12.75">
      <c r="A35" s="482" t="s">
        <v>548</v>
      </c>
      <c r="B35" s="350">
        <v>3050000</v>
      </c>
      <c r="C35" s="178">
        <v>3050000</v>
      </c>
      <c r="D35" s="177">
        <v>0</v>
      </c>
      <c r="E35" s="177">
        <f t="shared" si="0"/>
        <v>0</v>
      </c>
      <c r="F35" s="483"/>
      <c r="G35" s="483"/>
      <c r="H35" s="483"/>
    </row>
    <row r="36" spans="1:8" s="367" customFormat="1" ht="12.75">
      <c r="A36" s="482" t="s">
        <v>624</v>
      </c>
      <c r="B36" s="350">
        <v>3000000</v>
      </c>
      <c r="C36" s="178">
        <v>3000000</v>
      </c>
      <c r="D36" s="177">
        <v>0</v>
      </c>
      <c r="E36" s="177">
        <f t="shared" si="0"/>
        <v>0</v>
      </c>
      <c r="F36" s="483"/>
      <c r="G36" s="483"/>
      <c r="H36" s="483"/>
    </row>
    <row r="37" spans="1:8" s="367" customFormat="1" ht="12.75">
      <c r="A37" s="482" t="s">
        <v>547</v>
      </c>
      <c r="B37" s="350">
        <v>262000000</v>
      </c>
      <c r="C37" s="178">
        <v>262000000</v>
      </c>
      <c r="D37" s="177">
        <v>83196063.4</v>
      </c>
      <c r="E37" s="177">
        <f t="shared" si="0"/>
        <v>31.754222671755727</v>
      </c>
      <c r="F37" s="483"/>
      <c r="G37" s="483"/>
      <c r="H37" s="483"/>
    </row>
    <row r="38" spans="1:8" s="367" customFormat="1" ht="12.75">
      <c r="A38" s="482" t="s">
        <v>546</v>
      </c>
      <c r="B38" s="350">
        <v>1000</v>
      </c>
      <c r="C38" s="178">
        <v>1000</v>
      </c>
      <c r="D38" s="177">
        <v>0</v>
      </c>
      <c r="E38" s="177">
        <f t="shared" si="0"/>
        <v>0</v>
      </c>
      <c r="F38" s="483"/>
      <c r="G38" s="483"/>
      <c r="H38" s="483"/>
    </row>
    <row r="39" spans="1:8" s="367" customFormat="1" ht="12.75">
      <c r="A39" s="482" t="s">
        <v>545</v>
      </c>
      <c r="B39" s="178">
        <v>1800000</v>
      </c>
      <c r="C39" s="178">
        <v>1800000</v>
      </c>
      <c r="D39" s="177">
        <v>580644.75</v>
      </c>
      <c r="E39" s="177">
        <f t="shared" si="0"/>
        <v>32.258041666666664</v>
      </c>
      <c r="F39" s="483"/>
      <c r="G39" s="483"/>
      <c r="H39" s="483"/>
    </row>
    <row r="40" spans="1:8" s="367" customFormat="1" ht="12.75">
      <c r="A40" s="482" t="s">
        <v>544</v>
      </c>
      <c r="B40" s="178">
        <v>1200000</v>
      </c>
      <c r="C40" s="178">
        <v>1200000</v>
      </c>
      <c r="D40" s="177">
        <v>22124.87</v>
      </c>
      <c r="E40" s="177">
        <f t="shared" si="0"/>
        <v>1.8437391666666667</v>
      </c>
      <c r="F40" s="483"/>
      <c r="G40" s="483"/>
      <c r="H40" s="483"/>
    </row>
    <row r="41" spans="1:8" s="367" customFormat="1" ht="12.75">
      <c r="A41" s="482" t="s">
        <v>543</v>
      </c>
      <c r="B41" s="178">
        <v>65000000</v>
      </c>
      <c r="C41" s="178">
        <v>65000000</v>
      </c>
      <c r="D41" s="177">
        <v>49460331.59</v>
      </c>
      <c r="E41" s="177">
        <f t="shared" si="0"/>
        <v>76.09281783076923</v>
      </c>
      <c r="F41" s="483"/>
      <c r="G41" s="483"/>
      <c r="H41" s="483"/>
    </row>
    <row r="42" spans="1:8" s="367" customFormat="1" ht="12.75">
      <c r="A42" s="482" t="s">
        <v>542</v>
      </c>
      <c r="B42" s="178"/>
      <c r="C42" s="178"/>
      <c r="D42" s="177"/>
      <c r="E42" s="177">
        <f t="shared" si="0"/>
        <v>0</v>
      </c>
      <c r="F42" s="483"/>
      <c r="G42" s="483"/>
      <c r="H42" s="483"/>
    </row>
    <row r="43" spans="1:8" s="367" customFormat="1" ht="12.75">
      <c r="A43" s="485" t="s">
        <v>486</v>
      </c>
      <c r="B43" s="156">
        <f>B21+B32</f>
        <v>693001000</v>
      </c>
      <c r="C43" s="156">
        <f>C21+C32</f>
        <v>693001000</v>
      </c>
      <c r="D43" s="157">
        <f>D21+D32</f>
        <v>270384148.02</v>
      </c>
      <c r="E43" s="157">
        <f t="shared" si="0"/>
        <v>39.01641527501403</v>
      </c>
      <c r="F43" s="483"/>
      <c r="G43" s="483"/>
      <c r="H43" s="483"/>
    </row>
    <row r="44" spans="1:8" s="367" customFormat="1" ht="12.75">
      <c r="A44" s="486"/>
      <c r="B44" s="487"/>
      <c r="C44" s="487"/>
      <c r="D44" s="487"/>
      <c r="E44" s="487"/>
      <c r="F44" s="483"/>
      <c r="G44" s="483"/>
      <c r="H44" s="483"/>
    </row>
    <row r="45" spans="1:8" s="367" customFormat="1" ht="12.75">
      <c r="A45" s="488"/>
      <c r="B45" s="489" t="s">
        <v>71</v>
      </c>
      <c r="C45" s="489" t="s">
        <v>71</v>
      </c>
      <c r="D45" s="920" t="s">
        <v>72</v>
      </c>
      <c r="E45" s="929"/>
      <c r="F45" s="483"/>
      <c r="G45" s="483"/>
      <c r="H45" s="483"/>
    </row>
    <row r="46" spans="1:8" s="367" customFormat="1" ht="12.75">
      <c r="A46" s="490" t="s">
        <v>541</v>
      </c>
      <c r="B46" s="490" t="s">
        <v>74</v>
      </c>
      <c r="C46" s="490" t="s">
        <v>75</v>
      </c>
      <c r="D46" s="491" t="str">
        <f>CONCATENATE("Até o  ",B12)</f>
        <v>Até o  Bimestre</v>
      </c>
      <c r="E46" s="492" t="s">
        <v>77</v>
      </c>
      <c r="F46" s="483"/>
      <c r="G46" s="483"/>
      <c r="H46" s="483"/>
    </row>
    <row r="47" spans="1:8" s="367" customFormat="1" ht="12.75">
      <c r="A47" s="493"/>
      <c r="B47" s="494"/>
      <c r="C47" s="494" t="s">
        <v>79</v>
      </c>
      <c r="D47" s="495" t="s">
        <v>80</v>
      </c>
      <c r="E47" s="496" t="s">
        <v>133</v>
      </c>
      <c r="F47" s="483"/>
      <c r="G47" s="483"/>
      <c r="H47" s="483"/>
    </row>
    <row r="48" spans="1:8" s="367" customFormat="1" ht="12.75">
      <c r="A48" s="482" t="s">
        <v>540</v>
      </c>
      <c r="B48" s="145">
        <v>79800</v>
      </c>
      <c r="C48" s="148">
        <v>79800</v>
      </c>
      <c r="D48" s="497">
        <v>34080.29</v>
      </c>
      <c r="E48" s="497">
        <f aca="true" t="shared" si="1" ref="E48:E61">IF(C48&gt;0,D48/C48*100,0)</f>
        <v>42.70713032581453</v>
      </c>
      <c r="F48" s="483"/>
      <c r="G48" s="483"/>
      <c r="H48" s="483"/>
    </row>
    <row r="49" spans="1:8" s="367" customFormat="1" ht="12.75">
      <c r="A49" s="482" t="s">
        <v>539</v>
      </c>
      <c r="B49" s="167">
        <f>SUM(B50:B55)</f>
        <v>21612200</v>
      </c>
      <c r="C49" s="147">
        <f>SUM(C50:C55)</f>
        <v>21630140.87</v>
      </c>
      <c r="D49" s="162">
        <f>SUM(D50:D55)</f>
        <v>8661361.5</v>
      </c>
      <c r="E49" s="162">
        <f t="shared" si="1"/>
        <v>40.04301937770967</v>
      </c>
      <c r="F49" s="483"/>
      <c r="G49" s="483"/>
      <c r="H49" s="483"/>
    </row>
    <row r="50" spans="1:8" s="367" customFormat="1" ht="12.75">
      <c r="A50" s="482" t="s">
        <v>538</v>
      </c>
      <c r="B50" s="167">
        <v>16121000</v>
      </c>
      <c r="C50" s="147">
        <v>16121000</v>
      </c>
      <c r="D50" s="162">
        <v>6559188.96</v>
      </c>
      <c r="E50" s="162">
        <f t="shared" si="1"/>
        <v>40.68723379442963</v>
      </c>
      <c r="F50" s="483"/>
      <c r="G50" s="483"/>
      <c r="H50" s="483"/>
    </row>
    <row r="51" spans="1:8" s="367" customFormat="1" ht="12.75">
      <c r="A51" s="498" t="s">
        <v>537</v>
      </c>
      <c r="B51" s="167">
        <v>0</v>
      </c>
      <c r="C51" s="147">
        <v>0</v>
      </c>
      <c r="D51" s="162">
        <v>1760</v>
      </c>
      <c r="E51" s="162">
        <f t="shared" si="1"/>
        <v>0</v>
      </c>
      <c r="F51" s="483"/>
      <c r="G51" s="483"/>
      <c r="H51" s="483"/>
    </row>
    <row r="52" spans="1:8" s="367" customFormat="1" ht="12.75">
      <c r="A52" s="498" t="s">
        <v>536</v>
      </c>
      <c r="B52" s="167">
        <v>4868000</v>
      </c>
      <c r="C52" s="147">
        <v>4868000</v>
      </c>
      <c r="D52" s="162">
        <v>1935967.8</v>
      </c>
      <c r="E52" s="162">
        <f t="shared" si="1"/>
        <v>39.76926458504519</v>
      </c>
      <c r="F52" s="483"/>
      <c r="G52" s="483"/>
      <c r="H52" s="483"/>
    </row>
    <row r="53" spans="1:8" s="367" customFormat="1" ht="12.75">
      <c r="A53" s="498" t="s">
        <v>535</v>
      </c>
      <c r="B53" s="167">
        <v>83000</v>
      </c>
      <c r="C53" s="147">
        <v>83000</v>
      </c>
      <c r="D53" s="162">
        <v>30760.41</v>
      </c>
      <c r="E53" s="162">
        <f t="shared" si="1"/>
        <v>37.06073493975904</v>
      </c>
      <c r="F53" s="483"/>
      <c r="G53" s="483"/>
      <c r="H53" s="483"/>
    </row>
    <row r="54" spans="1:8" s="367" customFormat="1" ht="12.75">
      <c r="A54" s="482" t="s">
        <v>620</v>
      </c>
      <c r="B54" s="167">
        <v>0</v>
      </c>
      <c r="C54" s="147">
        <v>17840.87</v>
      </c>
      <c r="D54" s="162">
        <v>17840.87</v>
      </c>
      <c r="E54" s="162">
        <f t="shared" si="1"/>
        <v>100</v>
      </c>
      <c r="F54" s="483"/>
      <c r="G54" s="483"/>
      <c r="H54" s="483"/>
    </row>
    <row r="55" spans="1:8" s="367" customFormat="1" ht="12.75">
      <c r="A55" s="482" t="s">
        <v>621</v>
      </c>
      <c r="B55" s="167">
        <v>540200</v>
      </c>
      <c r="C55" s="147">
        <v>540300</v>
      </c>
      <c r="D55" s="162">
        <v>115843.46</v>
      </c>
      <c r="E55" s="162">
        <f t="shared" si="1"/>
        <v>21.440581158615586</v>
      </c>
      <c r="F55" s="483"/>
      <c r="G55" s="483"/>
      <c r="H55" s="483"/>
    </row>
    <row r="56" spans="1:8" s="367" customFormat="1" ht="12.75">
      <c r="A56" s="482" t="s">
        <v>534</v>
      </c>
      <c r="B56" s="167">
        <f>SUM(B57:B58)</f>
        <v>10058000</v>
      </c>
      <c r="C56" s="147">
        <f>SUM(C57:C58)</f>
        <v>10945978</v>
      </c>
      <c r="D56" s="162">
        <f>SUM(D57:D58)</f>
        <v>2191532.3</v>
      </c>
      <c r="E56" s="162">
        <f t="shared" si="1"/>
        <v>20.02134756711552</v>
      </c>
      <c r="F56" s="483"/>
      <c r="G56" s="483"/>
      <c r="H56" s="483"/>
    </row>
    <row r="57" spans="1:8" s="367" customFormat="1" ht="12.75">
      <c r="A57" s="499" t="s">
        <v>533</v>
      </c>
      <c r="B57" s="167">
        <v>10048000</v>
      </c>
      <c r="C57" s="147">
        <v>10935978</v>
      </c>
      <c r="D57" s="162">
        <v>2187137.84</v>
      </c>
      <c r="E57" s="162">
        <f t="shared" si="1"/>
        <v>19.999471835075013</v>
      </c>
      <c r="F57" s="483"/>
      <c r="G57" s="483"/>
      <c r="H57" s="483"/>
    </row>
    <row r="58" spans="1:8" s="367" customFormat="1" ht="12.75">
      <c r="A58" s="500" t="s">
        <v>532</v>
      </c>
      <c r="B58" s="167">
        <v>10000</v>
      </c>
      <c r="C58" s="147">
        <v>10000</v>
      </c>
      <c r="D58" s="162">
        <v>4394.46</v>
      </c>
      <c r="E58" s="162">
        <f t="shared" si="1"/>
        <v>43.9446</v>
      </c>
      <c r="F58" s="483"/>
      <c r="G58" s="483"/>
      <c r="H58" s="483"/>
    </row>
    <row r="59" spans="1:8" s="367" customFormat="1" ht="12.75">
      <c r="A59" s="482" t="s">
        <v>531</v>
      </c>
      <c r="B59" s="167">
        <v>0</v>
      </c>
      <c r="C59" s="147">
        <v>0</v>
      </c>
      <c r="D59" s="162">
        <v>2114.52</v>
      </c>
      <c r="E59" s="162">
        <f t="shared" si="1"/>
        <v>0</v>
      </c>
      <c r="F59" s="483"/>
      <c r="G59" s="483"/>
      <c r="H59" s="483"/>
    </row>
    <row r="60" spans="1:8" s="367" customFormat="1" ht="12.75">
      <c r="A60" s="482" t="s">
        <v>530</v>
      </c>
      <c r="B60" s="167">
        <v>47000</v>
      </c>
      <c r="C60" s="147">
        <v>47000</v>
      </c>
      <c r="D60" s="163">
        <v>0</v>
      </c>
      <c r="E60" s="162">
        <f t="shared" si="1"/>
        <v>0</v>
      </c>
      <c r="F60" s="483"/>
      <c r="G60" s="483"/>
      <c r="H60" s="483"/>
    </row>
    <row r="61" spans="1:8" s="367" customFormat="1" ht="12.75">
      <c r="A61" s="485" t="s">
        <v>529</v>
      </c>
      <c r="B61" s="501">
        <f>B48+B49+B56+B59+B60</f>
        <v>31797000</v>
      </c>
      <c r="C61" s="502">
        <f>C48+C49+C56+C59+C60</f>
        <v>32702918.87</v>
      </c>
      <c r="D61" s="501">
        <f>D48+D49+D56+D59+D60</f>
        <v>10889088.61</v>
      </c>
      <c r="E61" s="150">
        <f t="shared" si="1"/>
        <v>33.296993009358246</v>
      </c>
      <c r="F61" s="483"/>
      <c r="G61" s="483"/>
      <c r="H61" s="483"/>
    </row>
    <row r="62" spans="1:8" s="367" customFormat="1" ht="15" customHeight="1">
      <c r="A62" s="486"/>
      <c r="B62" s="486"/>
      <c r="C62" s="503"/>
      <c r="D62" s="503"/>
      <c r="E62" s="487"/>
      <c r="F62" s="483"/>
      <c r="G62" s="483"/>
      <c r="H62" s="483"/>
    </row>
    <row r="63" spans="1:8" s="367" customFormat="1" ht="12.75">
      <c r="A63" s="926" t="s">
        <v>135</v>
      </c>
      <c r="B63" s="927"/>
      <c r="C63" s="927"/>
      <c r="D63" s="927"/>
      <c r="E63" s="928"/>
      <c r="F63" s="483"/>
      <c r="G63" s="483"/>
      <c r="H63" s="483"/>
    </row>
    <row r="64" spans="1:8" s="367" customFormat="1" ht="12.75">
      <c r="A64" s="504"/>
      <c r="B64" s="489" t="s">
        <v>71</v>
      </c>
      <c r="C64" s="489" t="s">
        <v>71</v>
      </c>
      <c r="D64" s="920" t="s">
        <v>72</v>
      </c>
      <c r="E64" s="921"/>
      <c r="F64" s="483"/>
      <c r="G64" s="483"/>
      <c r="H64" s="483"/>
    </row>
    <row r="65" spans="1:8" s="367" customFormat="1" ht="12.75">
      <c r="A65" s="490" t="s">
        <v>136</v>
      </c>
      <c r="B65" s="490" t="s">
        <v>74</v>
      </c>
      <c r="C65" s="490" t="s">
        <v>75</v>
      </c>
      <c r="D65" s="491" t="str">
        <f>CONCATENATE("Até o  ",B12)</f>
        <v>Até o  Bimestre</v>
      </c>
      <c r="E65" s="492" t="s">
        <v>77</v>
      </c>
      <c r="F65" s="483"/>
      <c r="G65" s="483"/>
      <c r="H65" s="483"/>
    </row>
    <row r="66" spans="1:8" s="367" customFormat="1" ht="12.75">
      <c r="A66" s="505"/>
      <c r="B66" s="494"/>
      <c r="C66" s="494" t="s">
        <v>79</v>
      </c>
      <c r="D66" s="495" t="s">
        <v>80</v>
      </c>
      <c r="E66" s="496" t="s">
        <v>133</v>
      </c>
      <c r="F66" s="483"/>
      <c r="G66" s="483"/>
      <c r="H66" s="483"/>
    </row>
    <row r="67" spans="1:8" s="367" customFormat="1" ht="12.75">
      <c r="A67" s="506" t="s">
        <v>528</v>
      </c>
      <c r="B67" s="507">
        <f>SUM(B68:B73)</f>
        <v>80200200</v>
      </c>
      <c r="C67" s="155">
        <f>SUM(C68:C73)</f>
        <v>80200200</v>
      </c>
      <c r="D67" s="177">
        <f>SUM(D68:D73)</f>
        <v>31599388.159999996</v>
      </c>
      <c r="E67" s="508">
        <f aca="true" t="shared" si="2" ref="E67:E78">IF(C67&gt;0,D67/C67*100,0)</f>
        <v>39.400635110635626</v>
      </c>
      <c r="F67" s="483"/>
      <c r="G67" s="483"/>
      <c r="H67" s="483"/>
    </row>
    <row r="68" spans="1:8" s="367" customFormat="1" ht="12.75">
      <c r="A68" s="482" t="s">
        <v>527</v>
      </c>
      <c r="B68" s="350">
        <v>14200000</v>
      </c>
      <c r="C68" s="177">
        <v>14200000</v>
      </c>
      <c r="D68" s="177">
        <v>4947555.14</v>
      </c>
      <c r="E68" s="509">
        <f t="shared" si="2"/>
        <v>34.8419376056338</v>
      </c>
      <c r="F68" s="483"/>
      <c r="G68" s="483"/>
      <c r="H68" s="483"/>
    </row>
    <row r="69" spans="1:8" s="367" customFormat="1" ht="12.75">
      <c r="A69" s="482" t="s">
        <v>526</v>
      </c>
      <c r="B69" s="350">
        <v>52400000</v>
      </c>
      <c r="C69" s="177">
        <v>52400000</v>
      </c>
      <c r="D69" s="177">
        <v>16639212.61</v>
      </c>
      <c r="E69" s="509">
        <f t="shared" si="2"/>
        <v>31.754222538167937</v>
      </c>
      <c r="F69" s="483"/>
      <c r="G69" s="483"/>
      <c r="H69" s="483"/>
    </row>
    <row r="70" spans="1:8" s="367" customFormat="1" ht="12.75">
      <c r="A70" s="482" t="s">
        <v>525</v>
      </c>
      <c r="B70" s="350">
        <v>200</v>
      </c>
      <c r="C70" s="177">
        <v>200</v>
      </c>
      <c r="D70" s="177">
        <v>0</v>
      </c>
      <c r="E70" s="509">
        <f t="shared" si="2"/>
        <v>0</v>
      </c>
      <c r="F70" s="483"/>
      <c r="G70" s="483"/>
      <c r="H70" s="483"/>
    </row>
    <row r="71" spans="1:8" s="367" customFormat="1" ht="12.75">
      <c r="A71" s="482" t="s">
        <v>524</v>
      </c>
      <c r="B71" s="350">
        <v>360000</v>
      </c>
      <c r="C71" s="177">
        <v>360000</v>
      </c>
      <c r="D71" s="177">
        <v>116128.97</v>
      </c>
      <c r="E71" s="509">
        <f t="shared" si="2"/>
        <v>32.258047222222224</v>
      </c>
      <c r="F71" s="483"/>
      <c r="G71" s="483"/>
      <c r="H71" s="483"/>
    </row>
    <row r="72" spans="1:8" s="367" customFormat="1" ht="11.25" customHeight="1">
      <c r="A72" s="482" t="s">
        <v>936</v>
      </c>
      <c r="B72" s="350">
        <v>240000</v>
      </c>
      <c r="C72" s="177">
        <v>240000</v>
      </c>
      <c r="D72" s="177">
        <v>4424.93</v>
      </c>
      <c r="E72" s="509">
        <f t="shared" si="2"/>
        <v>1.8437208333333333</v>
      </c>
      <c r="F72" s="483"/>
      <c r="G72" s="483"/>
      <c r="H72" s="483"/>
    </row>
    <row r="73" spans="1:8" s="367" customFormat="1" ht="12.75">
      <c r="A73" s="482" t="s">
        <v>523</v>
      </c>
      <c r="B73" s="350">
        <v>13000000</v>
      </c>
      <c r="C73" s="177">
        <v>13000000</v>
      </c>
      <c r="D73" s="177">
        <v>9892066.51</v>
      </c>
      <c r="E73" s="509">
        <f t="shared" si="2"/>
        <v>76.09281930769231</v>
      </c>
      <c r="F73" s="483"/>
      <c r="G73" s="483"/>
      <c r="H73" s="483"/>
    </row>
    <row r="74" spans="1:8" s="367" customFormat="1" ht="12.75">
      <c r="A74" s="482" t="s">
        <v>522</v>
      </c>
      <c r="B74" s="350">
        <f>SUM(B75:B77)</f>
        <v>118000000</v>
      </c>
      <c r="C74" s="177">
        <f>SUM(C75:C77)</f>
        <v>118000000</v>
      </c>
      <c r="D74" s="177">
        <f>SUM(D75:D77)</f>
        <v>44084812.82</v>
      </c>
      <c r="E74" s="509">
        <f t="shared" si="2"/>
        <v>37.36001086440678</v>
      </c>
      <c r="F74" s="483"/>
      <c r="G74" s="483"/>
      <c r="H74" s="483"/>
    </row>
    <row r="75" spans="1:8" s="367" customFormat="1" ht="12.75">
      <c r="A75" s="482" t="s">
        <v>521</v>
      </c>
      <c r="B75" s="350">
        <v>117800000</v>
      </c>
      <c r="C75" s="177">
        <v>117800000</v>
      </c>
      <c r="D75" s="177">
        <v>44032776.36</v>
      </c>
      <c r="E75" s="509">
        <f t="shared" si="2"/>
        <v>37.379266859083195</v>
      </c>
      <c r="F75" s="483"/>
      <c r="G75" s="483"/>
      <c r="H75" s="483"/>
    </row>
    <row r="76" spans="1:8" s="367" customFormat="1" ht="12.75">
      <c r="A76" s="482" t="s">
        <v>520</v>
      </c>
      <c r="B76" s="350"/>
      <c r="C76" s="177"/>
      <c r="D76" s="177"/>
      <c r="E76" s="509">
        <f t="shared" si="2"/>
        <v>0</v>
      </c>
      <c r="F76" s="483"/>
      <c r="G76" s="483"/>
      <c r="H76" s="483"/>
    </row>
    <row r="77" spans="1:8" s="367" customFormat="1" ht="12.75">
      <c r="A77" s="482" t="s">
        <v>519</v>
      </c>
      <c r="B77" s="350">
        <v>200000</v>
      </c>
      <c r="C77" s="341">
        <v>200000</v>
      </c>
      <c r="D77" s="341">
        <v>52036.46</v>
      </c>
      <c r="E77" s="509">
        <f t="shared" si="2"/>
        <v>26.01823</v>
      </c>
      <c r="F77" s="483"/>
      <c r="G77" s="483"/>
      <c r="H77" s="483"/>
    </row>
    <row r="78" spans="1:8" s="367" customFormat="1" ht="12.75">
      <c r="A78" s="485" t="s">
        <v>518</v>
      </c>
      <c r="B78" s="510">
        <f>B75-B67</f>
        <v>37599800</v>
      </c>
      <c r="C78" s="156">
        <f>C75-C67</f>
        <v>37599800</v>
      </c>
      <c r="D78" s="156">
        <f>D75-D67</f>
        <v>12433388.200000003</v>
      </c>
      <c r="E78" s="157">
        <f t="shared" si="2"/>
        <v>33.067697700519695</v>
      </c>
      <c r="F78" s="483"/>
      <c r="G78" s="483"/>
      <c r="H78" s="483"/>
    </row>
    <row r="79" spans="1:10" s="367" customFormat="1" ht="25.5" hidden="1">
      <c r="A79" s="511" t="s">
        <v>517</v>
      </c>
      <c r="B79" s="512"/>
      <c r="C79" s="512"/>
      <c r="D79" s="512"/>
      <c r="E79" s="513"/>
      <c r="F79" s="514"/>
      <c r="G79" s="514"/>
      <c r="H79" s="514"/>
      <c r="I79" s="515"/>
      <c r="J79" s="363"/>
    </row>
    <row r="80" spans="1:12" s="367" customFormat="1" ht="12.75">
      <c r="A80" s="516" t="str">
        <f>IF(D78=0,"",IF(D78&gt;0,"ACRÉSCIMO RESULTANTE DAS TRANSFERÊNCIAS DO FUNDEB","DECRÉSCIMO RESULTANTE DAS TRANSFERÊNCIAS DO FUNDEB"))</f>
        <v>ACRÉSCIMO RESULTANTE DAS TRANSFERÊNCIAS DO FUNDEB</v>
      </c>
      <c r="B80" s="517"/>
      <c r="C80" s="518"/>
      <c r="D80" s="518"/>
      <c r="E80" s="519"/>
      <c r="F80" s="520"/>
      <c r="G80" s="483"/>
      <c r="H80" s="521"/>
      <c r="I80" s="522"/>
      <c r="J80" s="522"/>
      <c r="K80" s="522"/>
      <c r="L80" s="363"/>
    </row>
    <row r="81" spans="1:12" s="367" customFormat="1" ht="12.75">
      <c r="A81" s="520"/>
      <c r="B81" s="520"/>
      <c r="C81" s="520"/>
      <c r="D81" s="523"/>
      <c r="E81" s="523"/>
      <c r="F81" s="520"/>
      <c r="G81" s="483"/>
      <c r="H81" s="521"/>
      <c r="I81" s="522"/>
      <c r="J81" s="522"/>
      <c r="K81" s="522"/>
      <c r="L81" s="363"/>
    </row>
    <row r="82" spans="1:12" s="367" customFormat="1" ht="44.25" customHeight="1">
      <c r="A82" s="922" t="s">
        <v>137</v>
      </c>
      <c r="B82" s="491" t="s">
        <v>103</v>
      </c>
      <c r="C82" s="491" t="s">
        <v>103</v>
      </c>
      <c r="D82" s="913" t="s">
        <v>104</v>
      </c>
      <c r="E82" s="914"/>
      <c r="F82" s="913" t="s">
        <v>105</v>
      </c>
      <c r="G82" s="914"/>
      <c r="H82" s="524" t="s">
        <v>1049</v>
      </c>
      <c r="I82" s="525"/>
      <c r="J82" s="526"/>
      <c r="K82" s="527"/>
      <c r="L82" s="363"/>
    </row>
    <row r="83" spans="1:12" s="367" customFormat="1" ht="12.75">
      <c r="A83" s="924"/>
      <c r="B83" s="528" t="s">
        <v>74</v>
      </c>
      <c r="C83" s="528" t="s">
        <v>75</v>
      </c>
      <c r="D83" s="491" t="str">
        <f>CONCATENATE("Até o  ",B12)</f>
        <v>Até o  Bimestre</v>
      </c>
      <c r="E83" s="529" t="s">
        <v>77</v>
      </c>
      <c r="F83" s="491" t="str">
        <f>CONCATENATE("Até o  ",B12)</f>
        <v>Até o  Bimestre</v>
      </c>
      <c r="G83" s="529" t="s">
        <v>77</v>
      </c>
      <c r="H83" s="530"/>
      <c r="I83" s="527"/>
      <c r="J83" s="527"/>
      <c r="K83" s="363"/>
      <c r="L83" s="363"/>
    </row>
    <row r="84" spans="1:12" s="367" customFormat="1" ht="12.75">
      <c r="A84" s="925"/>
      <c r="B84" s="493"/>
      <c r="C84" s="495" t="s">
        <v>108</v>
      </c>
      <c r="D84" s="495" t="s">
        <v>109</v>
      </c>
      <c r="E84" s="531" t="s">
        <v>138</v>
      </c>
      <c r="F84" s="495" t="s">
        <v>110</v>
      </c>
      <c r="G84" s="531" t="s">
        <v>484</v>
      </c>
      <c r="H84" s="532" t="s">
        <v>328</v>
      </c>
      <c r="I84" s="527"/>
      <c r="J84" s="527"/>
      <c r="K84" s="527"/>
      <c r="L84" s="363"/>
    </row>
    <row r="85" spans="1:8" s="367" customFormat="1" ht="12.75">
      <c r="A85" s="533" t="s">
        <v>516</v>
      </c>
      <c r="B85" s="508">
        <f>SUM(B86:B87)</f>
        <v>82297000</v>
      </c>
      <c r="C85" s="508">
        <f>SUM(C86:C87)</f>
        <v>82297000</v>
      </c>
      <c r="D85" s="508">
        <f>SUM(D86:D87)</f>
        <v>29008569.6</v>
      </c>
      <c r="E85" s="508">
        <f aca="true" t="shared" si="3" ref="E85:E91">IF(C85&gt;0,D85/C85*100,0)</f>
        <v>35.24863555172121</v>
      </c>
      <c r="F85" s="507">
        <f>SUM(F86:F87)</f>
        <v>29008569.6</v>
      </c>
      <c r="G85" s="176">
        <f aca="true" t="shared" si="4" ref="G85:G91">IF(C85&gt;0,F85/C85*100,0)</f>
        <v>35.24863555172121</v>
      </c>
      <c r="H85" s="155">
        <f>SUM(H86:H87)</f>
        <v>0</v>
      </c>
    </row>
    <row r="86" spans="1:8" s="367" customFormat="1" ht="12.75">
      <c r="A86" s="534" t="s">
        <v>515</v>
      </c>
      <c r="B86" s="509">
        <v>22644000</v>
      </c>
      <c r="C86" s="509">
        <v>22644000</v>
      </c>
      <c r="D86" s="509">
        <v>8805027.98</v>
      </c>
      <c r="E86" s="509">
        <f t="shared" si="3"/>
        <v>38.88459627274333</v>
      </c>
      <c r="F86" s="535">
        <v>8805027.98</v>
      </c>
      <c r="G86" s="178">
        <f t="shared" si="4"/>
        <v>38.88459627274333</v>
      </c>
      <c r="H86" s="177"/>
    </row>
    <row r="87" spans="1:8" s="367" customFormat="1" ht="12.75">
      <c r="A87" s="534" t="s">
        <v>514</v>
      </c>
      <c r="B87" s="509">
        <v>59653000</v>
      </c>
      <c r="C87" s="509">
        <v>59653000</v>
      </c>
      <c r="D87" s="509">
        <v>20203541.62</v>
      </c>
      <c r="E87" s="509">
        <f t="shared" si="3"/>
        <v>33.868441855397045</v>
      </c>
      <c r="F87" s="535">
        <v>20203541.62</v>
      </c>
      <c r="G87" s="178">
        <f t="shared" si="4"/>
        <v>33.868441855397045</v>
      </c>
      <c r="H87" s="177"/>
    </row>
    <row r="88" spans="1:8" s="367" customFormat="1" ht="12.75">
      <c r="A88" s="534" t="s">
        <v>513</v>
      </c>
      <c r="B88" s="509">
        <f>SUM(B89:B90)</f>
        <v>35703000</v>
      </c>
      <c r="C88" s="509">
        <f>SUM(C89:C90)</f>
        <v>35703000</v>
      </c>
      <c r="D88" s="509">
        <f>SUM(D89:D90)</f>
        <v>14767903.02</v>
      </c>
      <c r="E88" s="509">
        <f t="shared" si="3"/>
        <v>41.363199226955714</v>
      </c>
      <c r="F88" s="535">
        <f>SUM(F89:F90)</f>
        <v>14767903.02</v>
      </c>
      <c r="G88" s="178">
        <f t="shared" si="4"/>
        <v>41.363199226955714</v>
      </c>
      <c r="H88" s="177">
        <f>SUM(H89:H90)</f>
        <v>0</v>
      </c>
    </row>
    <row r="89" spans="1:8" s="367" customFormat="1" ht="12.75">
      <c r="A89" s="534" t="s">
        <v>512</v>
      </c>
      <c r="B89" s="509">
        <v>22605000</v>
      </c>
      <c r="C89" s="509">
        <v>22605000</v>
      </c>
      <c r="D89" s="509">
        <v>8580824.47</v>
      </c>
      <c r="E89" s="509">
        <f t="shared" si="3"/>
        <v>37.959851669984516</v>
      </c>
      <c r="F89" s="535">
        <v>8580824.47</v>
      </c>
      <c r="G89" s="178">
        <f t="shared" si="4"/>
        <v>37.959851669984516</v>
      </c>
      <c r="H89" s="177"/>
    </row>
    <row r="90" spans="1:8" s="367" customFormat="1" ht="12.75">
      <c r="A90" s="536" t="s">
        <v>511</v>
      </c>
      <c r="B90" s="509">
        <v>13098000</v>
      </c>
      <c r="C90" s="509">
        <v>13098000</v>
      </c>
      <c r="D90" s="509">
        <v>6187078.55</v>
      </c>
      <c r="E90" s="509">
        <f t="shared" si="3"/>
        <v>47.23681897999695</v>
      </c>
      <c r="F90" s="535">
        <v>6187078.55</v>
      </c>
      <c r="G90" s="340">
        <f t="shared" si="4"/>
        <v>47.23681897999695</v>
      </c>
      <c r="H90" s="341"/>
    </row>
    <row r="91" spans="1:8" s="367" customFormat="1" ht="12.75">
      <c r="A91" s="536" t="s">
        <v>510</v>
      </c>
      <c r="B91" s="157">
        <f>B85+B88</f>
        <v>118000000</v>
      </c>
      <c r="C91" s="537">
        <f>C85+C88</f>
        <v>118000000</v>
      </c>
      <c r="D91" s="537">
        <f>D85+D88</f>
        <v>43776472.620000005</v>
      </c>
      <c r="E91" s="157">
        <f t="shared" si="3"/>
        <v>37.098705610169496</v>
      </c>
      <c r="F91" s="156">
        <f>F85+F88</f>
        <v>43776472.620000005</v>
      </c>
      <c r="G91" s="156">
        <f t="shared" si="4"/>
        <v>37.098705610169496</v>
      </c>
      <c r="H91" s="157">
        <f>H85+H88</f>
        <v>0</v>
      </c>
    </row>
    <row r="92" spans="1:8" s="367" customFormat="1" ht="12.75">
      <c r="A92" s="486"/>
      <c r="B92" s="486"/>
      <c r="C92" s="538"/>
      <c r="D92" s="538"/>
      <c r="E92" s="538"/>
      <c r="F92" s="538"/>
      <c r="G92" s="539"/>
      <c r="H92" s="539"/>
    </row>
    <row r="93" spans="1:9" s="313" customFormat="1" ht="12.75" customHeight="1">
      <c r="A93" s="540" t="s">
        <v>479</v>
      </c>
      <c r="B93" s="541" t="s">
        <v>157</v>
      </c>
      <c r="C93" s="364"/>
      <c r="D93" s="364"/>
      <c r="E93" s="364"/>
      <c r="F93" s="364"/>
      <c r="G93" s="364"/>
      <c r="H93" s="364"/>
      <c r="I93" s="314"/>
    </row>
    <row r="94" spans="1:9" s="367" customFormat="1" ht="25.5">
      <c r="A94" s="542" t="s">
        <v>509</v>
      </c>
      <c r="B94" s="177"/>
      <c r="C94" s="360"/>
      <c r="D94" s="360"/>
      <c r="E94" s="360"/>
      <c r="F94" s="360"/>
      <c r="G94" s="360"/>
      <c r="H94" s="360"/>
      <c r="I94" s="363"/>
    </row>
    <row r="95" spans="1:9" s="367" customFormat="1" ht="12.75">
      <c r="A95" s="543" t="s">
        <v>508</v>
      </c>
      <c r="B95" s="177">
        <f>ROUND(B94*0.6,2)</f>
        <v>0</v>
      </c>
      <c r="C95" s="360"/>
      <c r="D95" s="360"/>
      <c r="E95" s="360"/>
      <c r="F95" s="360"/>
      <c r="G95" s="360"/>
      <c r="H95" s="360"/>
      <c r="I95" s="363"/>
    </row>
    <row r="96" spans="1:9" s="367" customFormat="1" ht="12.75">
      <c r="A96" s="543" t="s">
        <v>507</v>
      </c>
      <c r="B96" s="177">
        <f>B94-B95</f>
        <v>0</v>
      </c>
      <c r="C96" s="360"/>
      <c r="D96" s="360"/>
      <c r="E96" s="360"/>
      <c r="F96" s="360"/>
      <c r="G96" s="360"/>
      <c r="H96" s="360"/>
      <c r="I96" s="363"/>
    </row>
    <row r="97" spans="1:9" s="367" customFormat="1" ht="12.75" customHeight="1">
      <c r="A97" s="511" t="s">
        <v>506</v>
      </c>
      <c r="B97" s="177">
        <f>SUM(B98:B99)</f>
        <v>0</v>
      </c>
      <c r="C97" s="360"/>
      <c r="D97" s="360"/>
      <c r="E97" s="360"/>
      <c r="F97" s="360"/>
      <c r="G97" s="360"/>
      <c r="H97" s="360"/>
      <c r="I97" s="363"/>
    </row>
    <row r="98" spans="1:9" s="367" customFormat="1" ht="12.75">
      <c r="A98" s="543" t="s">
        <v>505</v>
      </c>
      <c r="B98" s="177"/>
      <c r="C98" s="360"/>
      <c r="D98" s="360"/>
      <c r="E98" s="360"/>
      <c r="F98" s="360"/>
      <c r="G98" s="360"/>
      <c r="H98" s="360"/>
      <c r="I98" s="363"/>
    </row>
    <row r="99" spans="1:9" s="367" customFormat="1" ht="12.75">
      <c r="A99" s="544" t="s">
        <v>504</v>
      </c>
      <c r="B99" s="341"/>
      <c r="C99" s="360"/>
      <c r="D99" s="360"/>
      <c r="E99" s="360"/>
      <c r="F99" s="360"/>
      <c r="G99" s="360"/>
      <c r="H99" s="360"/>
      <c r="I99" s="363"/>
    </row>
    <row r="100" spans="1:9" s="367" customFormat="1" ht="12.75" customHeight="1">
      <c r="A100" s="545" t="s">
        <v>503</v>
      </c>
      <c r="B100" s="341">
        <f>B94+B97</f>
        <v>0</v>
      </c>
      <c r="C100" s="360"/>
      <c r="D100" s="360"/>
      <c r="E100" s="360"/>
      <c r="F100" s="360"/>
      <c r="G100" s="360"/>
      <c r="H100" s="360"/>
      <c r="I100" s="363"/>
    </row>
    <row r="101" spans="1:11" s="367" customFormat="1" ht="12.75" customHeight="1">
      <c r="A101" s="546"/>
      <c r="B101" s="546"/>
      <c r="C101" s="547"/>
      <c r="D101" s="547"/>
      <c r="E101" s="547"/>
      <c r="F101" s="547"/>
      <c r="G101" s="548"/>
      <c r="H101" s="548"/>
      <c r="I101" s="363"/>
      <c r="J101" s="363"/>
      <c r="K101" s="363"/>
    </row>
    <row r="102" spans="1:11" s="367" customFormat="1" ht="15.75" customHeight="1">
      <c r="A102" s="540" t="s">
        <v>480</v>
      </c>
      <c r="B102" s="541" t="s">
        <v>157</v>
      </c>
      <c r="C102" s="360"/>
      <c r="D102" s="360"/>
      <c r="E102" s="360"/>
      <c r="F102" s="360"/>
      <c r="G102" s="360"/>
      <c r="H102" s="360"/>
      <c r="I102" s="363"/>
      <c r="J102" s="363"/>
      <c r="K102" s="363"/>
    </row>
    <row r="103" spans="1:8" s="367" customFormat="1" ht="12.75" customHeight="1">
      <c r="A103" s="549" t="s">
        <v>502</v>
      </c>
      <c r="B103" s="147">
        <f>F91+H91-B100</f>
        <v>43776472.620000005</v>
      </c>
      <c r="C103" s="483"/>
      <c r="D103" s="483"/>
      <c r="E103" s="483"/>
      <c r="F103" s="483"/>
      <c r="G103" s="483"/>
      <c r="H103" s="483"/>
    </row>
    <row r="104" spans="1:8" s="367" customFormat="1" ht="14.25" customHeight="1">
      <c r="A104" s="549" t="s">
        <v>501</v>
      </c>
      <c r="B104" s="147">
        <f>IF(D74&gt;0,(((F85+H85)-(B95+B98))/D74*100),0)</f>
        <v>65.80173022043468</v>
      </c>
      <c r="C104" s="483"/>
      <c r="D104" s="483"/>
      <c r="E104" s="483"/>
      <c r="F104" s="483"/>
      <c r="G104" s="483"/>
      <c r="H104" s="483"/>
    </row>
    <row r="105" spans="1:8" s="367" customFormat="1" ht="12.75" customHeight="1">
      <c r="A105" s="549" t="s">
        <v>500</v>
      </c>
      <c r="B105" s="147">
        <f>IF(D74&gt;0,(((F88+H88)-(B96+B99))/D74*100),0)</f>
        <v>33.49884478425239</v>
      </c>
      <c r="C105" s="483"/>
      <c r="D105" s="483"/>
      <c r="E105" s="483"/>
      <c r="F105" s="483"/>
      <c r="G105" s="483"/>
      <c r="H105" s="483"/>
    </row>
    <row r="106" spans="1:8" s="367" customFormat="1" ht="13.5" customHeight="1">
      <c r="A106" s="550" t="s">
        <v>499</v>
      </c>
      <c r="B106" s="551">
        <f>100-B104-B105</f>
        <v>0.6994249953129312</v>
      </c>
      <c r="C106" s="483"/>
      <c r="D106" s="483"/>
      <c r="E106" s="483"/>
      <c r="F106" s="483"/>
      <c r="G106" s="483"/>
      <c r="H106" s="483"/>
    </row>
    <row r="107" spans="1:8" s="367" customFormat="1" ht="13.5" customHeight="1">
      <c r="A107" s="520"/>
      <c r="B107" s="552"/>
      <c r="C107" s="483"/>
      <c r="D107" s="483"/>
      <c r="E107" s="483"/>
      <c r="F107" s="483"/>
      <c r="G107" s="483"/>
      <c r="H107" s="483"/>
    </row>
    <row r="108" spans="1:8" s="554" customFormat="1" ht="16.5" customHeight="1">
      <c r="A108" s="540" t="s">
        <v>498</v>
      </c>
      <c r="B108" s="541" t="s">
        <v>157</v>
      </c>
      <c r="C108" s="553"/>
      <c r="D108" s="553"/>
      <c r="E108" s="553"/>
      <c r="F108" s="553"/>
      <c r="G108" s="553"/>
      <c r="H108" s="553"/>
    </row>
    <row r="109" spans="1:8" s="367" customFormat="1" ht="13.5" customHeight="1">
      <c r="A109" s="555" t="s">
        <v>497</v>
      </c>
      <c r="B109" s="147">
        <v>0</v>
      </c>
      <c r="C109" s="483"/>
      <c r="D109" s="483"/>
      <c r="E109" s="483"/>
      <c r="F109" s="483"/>
      <c r="G109" s="483"/>
      <c r="H109" s="483"/>
    </row>
    <row r="110" spans="1:8" s="367" customFormat="1" ht="17.25" customHeight="1">
      <c r="A110" s="556" t="s">
        <v>496</v>
      </c>
      <c r="B110" s="152">
        <f>B97</f>
        <v>0</v>
      </c>
      <c r="C110" s="483"/>
      <c r="D110" s="483"/>
      <c r="E110" s="483"/>
      <c r="F110" s="483"/>
      <c r="G110" s="483"/>
      <c r="H110" s="483"/>
    </row>
    <row r="111" spans="1:12" s="367" customFormat="1" ht="12.75">
      <c r="A111" s="520"/>
      <c r="B111" s="520"/>
      <c r="C111" s="520"/>
      <c r="D111" s="520"/>
      <c r="E111" s="520"/>
      <c r="F111" s="520"/>
      <c r="G111" s="360"/>
      <c r="H111" s="521"/>
      <c r="I111" s="522"/>
      <c r="J111" s="522"/>
      <c r="K111" s="522"/>
      <c r="L111" s="363"/>
    </row>
    <row r="112" spans="1:12" s="367" customFormat="1" ht="44.25" customHeight="1">
      <c r="A112" s="922" t="s">
        <v>316</v>
      </c>
      <c r="B112" s="491" t="s">
        <v>103</v>
      </c>
      <c r="C112" s="491" t="s">
        <v>103</v>
      </c>
      <c r="D112" s="913" t="s">
        <v>104</v>
      </c>
      <c r="E112" s="914"/>
      <c r="F112" s="913" t="s">
        <v>105</v>
      </c>
      <c r="G112" s="914"/>
      <c r="H112" s="524" t="s">
        <v>1049</v>
      </c>
      <c r="I112" s="525"/>
      <c r="J112" s="526"/>
      <c r="K112" s="527"/>
      <c r="L112" s="363"/>
    </row>
    <row r="113" spans="1:12" s="367" customFormat="1" ht="12.75">
      <c r="A113" s="924"/>
      <c r="B113" s="528" t="s">
        <v>74</v>
      </c>
      <c r="C113" s="528" t="s">
        <v>75</v>
      </c>
      <c r="D113" s="491" t="str">
        <f>CONCATENATE("Até o  ",B12)</f>
        <v>Até o  Bimestre</v>
      </c>
      <c r="E113" s="529" t="s">
        <v>77</v>
      </c>
      <c r="F113" s="491" t="str">
        <f>CONCATENATE("Até o  ",B12)</f>
        <v>Até o  Bimestre</v>
      </c>
      <c r="G113" s="529" t="s">
        <v>77</v>
      </c>
      <c r="H113" s="530"/>
      <c r="I113" s="527"/>
      <c r="J113" s="527"/>
      <c r="K113" s="363"/>
      <c r="L113" s="363"/>
    </row>
    <row r="114" spans="1:12" s="367" customFormat="1" ht="12.75">
      <c r="A114" s="925"/>
      <c r="B114" s="493"/>
      <c r="C114" s="495" t="s">
        <v>108</v>
      </c>
      <c r="D114" s="495" t="s">
        <v>109</v>
      </c>
      <c r="E114" s="531" t="s">
        <v>138</v>
      </c>
      <c r="F114" s="495" t="s">
        <v>110</v>
      </c>
      <c r="G114" s="531" t="s">
        <v>484</v>
      </c>
      <c r="H114" s="532" t="s">
        <v>328</v>
      </c>
      <c r="I114" s="527"/>
      <c r="J114" s="527"/>
      <c r="K114" s="527"/>
      <c r="L114" s="363"/>
    </row>
    <row r="115" spans="1:12" s="367" customFormat="1" ht="12.75">
      <c r="A115" s="506" t="s">
        <v>825</v>
      </c>
      <c r="B115" s="148">
        <f>B116+B119</f>
        <v>103520400</v>
      </c>
      <c r="C115" s="497">
        <f>C116+C119</f>
        <v>108409650</v>
      </c>
      <c r="D115" s="497">
        <f>D116+D119</f>
        <v>57409602.2</v>
      </c>
      <c r="E115" s="497">
        <f aca="true" t="shared" si="5" ref="E115:E129">IF(C115&gt;0,D115/C115*100,0)</f>
        <v>52.95617336648537</v>
      </c>
      <c r="F115" s="146">
        <f>F116+F119</f>
        <v>34552381.72</v>
      </c>
      <c r="G115" s="146">
        <f aca="true" t="shared" si="6" ref="G115:G129">IF(C115&gt;0,F115/C115*100,0)</f>
        <v>31.872053567187052</v>
      </c>
      <c r="H115" s="148">
        <f>H116+H119</f>
        <v>0</v>
      </c>
      <c r="I115" s="363"/>
      <c r="J115" s="363"/>
      <c r="K115" s="363"/>
      <c r="L115" s="363"/>
    </row>
    <row r="116" spans="1:12" s="367" customFormat="1" ht="12.75">
      <c r="A116" s="482" t="s">
        <v>826</v>
      </c>
      <c r="B116" s="147">
        <f>SUM(B117:B118)</f>
        <v>0</v>
      </c>
      <c r="C116" s="162">
        <f>SUM(C117:C118)</f>
        <v>0</v>
      </c>
      <c r="D116" s="162">
        <f>SUM(D117:D118)</f>
        <v>0</v>
      </c>
      <c r="E116" s="162">
        <f t="shared" si="5"/>
        <v>0</v>
      </c>
      <c r="F116" s="145">
        <f>SUM(F117:F118)</f>
        <v>0</v>
      </c>
      <c r="G116" s="145">
        <f t="shared" si="6"/>
        <v>0</v>
      </c>
      <c r="H116" s="147">
        <f>SUM(H117:H118)</f>
        <v>0</v>
      </c>
      <c r="I116" s="363"/>
      <c r="J116" s="363"/>
      <c r="K116" s="363"/>
      <c r="L116" s="363"/>
    </row>
    <row r="117" spans="1:8" s="367" customFormat="1" ht="12.75">
      <c r="A117" s="482" t="s">
        <v>827</v>
      </c>
      <c r="B117" s="147"/>
      <c r="C117" s="162"/>
      <c r="D117" s="162"/>
      <c r="E117" s="162">
        <f t="shared" si="5"/>
        <v>0</v>
      </c>
      <c r="F117" s="145"/>
      <c r="G117" s="145">
        <f t="shared" si="6"/>
        <v>0</v>
      </c>
      <c r="H117" s="147"/>
    </row>
    <row r="118" spans="1:8" s="367" customFormat="1" ht="12.75">
      <c r="A118" s="482" t="s">
        <v>828</v>
      </c>
      <c r="B118" s="147"/>
      <c r="C118" s="162"/>
      <c r="D118" s="162"/>
      <c r="E118" s="162">
        <f t="shared" si="5"/>
        <v>0</v>
      </c>
      <c r="F118" s="145"/>
      <c r="G118" s="145">
        <f t="shared" si="6"/>
        <v>0</v>
      </c>
      <c r="H118" s="147"/>
    </row>
    <row r="119" spans="1:8" s="367" customFormat="1" ht="12.75">
      <c r="A119" s="482" t="s">
        <v>829</v>
      </c>
      <c r="B119" s="147">
        <f>SUM(B120:B121)</f>
        <v>103520400</v>
      </c>
      <c r="C119" s="162">
        <f>SUM(C120:C121)</f>
        <v>108409650</v>
      </c>
      <c r="D119" s="162">
        <f>SUM(D120:D121)</f>
        <v>57409602.2</v>
      </c>
      <c r="E119" s="162">
        <f t="shared" si="5"/>
        <v>52.95617336648537</v>
      </c>
      <c r="F119" s="145">
        <f>SUM(F120:F121)</f>
        <v>34552381.72</v>
      </c>
      <c r="G119" s="145">
        <f t="shared" si="6"/>
        <v>31.872053567187052</v>
      </c>
      <c r="H119" s="147">
        <f>SUM(H120:H121)</f>
        <v>0</v>
      </c>
    </row>
    <row r="120" spans="1:8" s="367" customFormat="1" ht="12.75">
      <c r="A120" s="482" t="s">
        <v>830</v>
      </c>
      <c r="B120" s="147">
        <v>45249000</v>
      </c>
      <c r="C120" s="162">
        <v>45249000</v>
      </c>
      <c r="D120" s="162">
        <v>17385852.45</v>
      </c>
      <c r="E120" s="162">
        <f t="shared" si="5"/>
        <v>38.42262248889478</v>
      </c>
      <c r="F120" s="145">
        <v>17385852.45</v>
      </c>
      <c r="G120" s="145">
        <f t="shared" si="6"/>
        <v>38.42262248889478</v>
      </c>
      <c r="H120" s="147"/>
    </row>
    <row r="121" spans="1:8" s="367" customFormat="1" ht="12.75">
      <c r="A121" s="482" t="s">
        <v>831</v>
      </c>
      <c r="B121" s="147">
        <v>58271400</v>
      </c>
      <c r="C121" s="162">
        <v>63160650</v>
      </c>
      <c r="D121" s="162">
        <v>40023749.75</v>
      </c>
      <c r="E121" s="162">
        <f t="shared" si="5"/>
        <v>63.368172667634035</v>
      </c>
      <c r="F121" s="145">
        <v>17166529.27</v>
      </c>
      <c r="G121" s="145">
        <f t="shared" si="6"/>
        <v>27.17915232031336</v>
      </c>
      <c r="H121" s="147"/>
    </row>
    <row r="122" spans="1:8" s="367" customFormat="1" ht="12.75">
      <c r="A122" s="482" t="s">
        <v>832</v>
      </c>
      <c r="B122" s="147">
        <f>SUM(B123:B124)</f>
        <v>125985400</v>
      </c>
      <c r="C122" s="162">
        <f>SUM(C123:C124)</f>
        <v>140305400</v>
      </c>
      <c r="D122" s="162">
        <f>SUM(D123:D124)</f>
        <v>53663348.2</v>
      </c>
      <c r="E122" s="162">
        <f t="shared" si="5"/>
        <v>38.24752874800257</v>
      </c>
      <c r="F122" s="145">
        <f>SUM(F123:F124)</f>
        <v>36808915.89</v>
      </c>
      <c r="G122" s="145">
        <f t="shared" si="6"/>
        <v>26.234853319972007</v>
      </c>
      <c r="H122" s="147">
        <f>SUM(H123:H124)</f>
        <v>0</v>
      </c>
    </row>
    <row r="123" spans="1:8" s="367" customFormat="1" ht="12.75">
      <c r="A123" s="482" t="s">
        <v>833</v>
      </c>
      <c r="B123" s="147">
        <v>72751000</v>
      </c>
      <c r="C123" s="162">
        <v>72751000</v>
      </c>
      <c r="D123" s="162">
        <v>26390620.17</v>
      </c>
      <c r="E123" s="162">
        <f t="shared" si="5"/>
        <v>36.27526792758863</v>
      </c>
      <c r="F123" s="145">
        <v>26390620.17</v>
      </c>
      <c r="G123" s="145">
        <f t="shared" si="6"/>
        <v>36.27526792758863</v>
      </c>
      <c r="H123" s="147"/>
    </row>
    <row r="124" spans="1:8" s="367" customFormat="1" ht="12.75">
      <c r="A124" s="482" t="s">
        <v>834</v>
      </c>
      <c r="B124" s="147">
        <v>53234400</v>
      </c>
      <c r="C124" s="162">
        <v>67554400</v>
      </c>
      <c r="D124" s="162">
        <v>27272728.03</v>
      </c>
      <c r="E124" s="162">
        <f t="shared" si="5"/>
        <v>40.37150508331064</v>
      </c>
      <c r="F124" s="145">
        <v>10418295.72</v>
      </c>
      <c r="G124" s="145">
        <f t="shared" si="6"/>
        <v>15.422083121158654</v>
      </c>
      <c r="H124" s="147"/>
    </row>
    <row r="125" spans="1:8" s="367" customFormat="1" ht="12.75">
      <c r="A125" s="482" t="s">
        <v>835</v>
      </c>
      <c r="B125" s="162">
        <v>2369000</v>
      </c>
      <c r="C125" s="162">
        <v>3176000</v>
      </c>
      <c r="D125" s="162">
        <v>1084007.3</v>
      </c>
      <c r="E125" s="162">
        <f t="shared" si="5"/>
        <v>34.13121221662468</v>
      </c>
      <c r="F125" s="145">
        <v>520870.58</v>
      </c>
      <c r="G125" s="145">
        <f t="shared" si="6"/>
        <v>16.40020717884131</v>
      </c>
      <c r="H125" s="147"/>
    </row>
    <row r="126" spans="1:8" s="367" customFormat="1" ht="12.75">
      <c r="A126" s="482" t="s">
        <v>836</v>
      </c>
      <c r="B126" s="162">
        <v>103000</v>
      </c>
      <c r="C126" s="162">
        <v>103000</v>
      </c>
      <c r="D126" s="162">
        <v>41492.21</v>
      </c>
      <c r="E126" s="162">
        <f t="shared" si="5"/>
        <v>40.28369902912621</v>
      </c>
      <c r="F126" s="145">
        <v>41492.21</v>
      </c>
      <c r="G126" s="145">
        <f t="shared" si="6"/>
        <v>40.28369902912621</v>
      </c>
      <c r="H126" s="147"/>
    </row>
    <row r="127" spans="1:8" s="367" customFormat="1" ht="12.75">
      <c r="A127" s="482" t="s">
        <v>837</v>
      </c>
      <c r="B127" s="162">
        <v>9386000</v>
      </c>
      <c r="C127" s="162">
        <v>11866000</v>
      </c>
      <c r="D127" s="162">
        <v>4531487.66</v>
      </c>
      <c r="E127" s="162">
        <f t="shared" si="5"/>
        <v>38.188839204449685</v>
      </c>
      <c r="F127" s="145">
        <v>3588653.88</v>
      </c>
      <c r="G127" s="145">
        <f t="shared" si="6"/>
        <v>30.243164335075</v>
      </c>
      <c r="H127" s="147"/>
    </row>
    <row r="128" spans="1:8" s="367" customFormat="1" ht="12.75">
      <c r="A128" s="557" t="s">
        <v>838</v>
      </c>
      <c r="B128" s="162">
        <v>1785000</v>
      </c>
      <c r="C128" s="162">
        <v>2059000</v>
      </c>
      <c r="D128" s="162">
        <v>1000000</v>
      </c>
      <c r="E128" s="162">
        <f t="shared" si="5"/>
        <v>48.56726566294318</v>
      </c>
      <c r="F128" s="151">
        <v>482241.81</v>
      </c>
      <c r="G128" s="151">
        <f t="shared" si="6"/>
        <v>23.42116610004857</v>
      </c>
      <c r="H128" s="152"/>
    </row>
    <row r="129" spans="1:8" s="367" customFormat="1" ht="12.75">
      <c r="A129" s="557" t="s">
        <v>839</v>
      </c>
      <c r="B129" s="244">
        <f>B115+B122+B125+B126+B127+B128</f>
        <v>243148800</v>
      </c>
      <c r="C129" s="244">
        <f>C115+C122+C125+C126+C127+C128</f>
        <v>265919050</v>
      </c>
      <c r="D129" s="244">
        <f>D115+D122+D125+D126+D127+D128</f>
        <v>117729937.57</v>
      </c>
      <c r="E129" s="244">
        <f t="shared" si="5"/>
        <v>44.272848285972735</v>
      </c>
      <c r="F129" s="149">
        <f>F115+F122+F125+F126+F127+F128</f>
        <v>75994556.08999999</v>
      </c>
      <c r="G129" s="150">
        <f t="shared" si="6"/>
        <v>28.578078964256225</v>
      </c>
      <c r="H129" s="244">
        <f>H115+H122+H125+H126+H127+H128</f>
        <v>0</v>
      </c>
    </row>
    <row r="130" spans="1:8" s="367" customFormat="1" ht="12.75">
      <c r="A130" s="520"/>
      <c r="B130" s="520"/>
      <c r="C130" s="520"/>
      <c r="D130" s="520"/>
      <c r="E130" s="520"/>
      <c r="F130" s="520"/>
      <c r="G130" s="360"/>
      <c r="H130" s="360"/>
    </row>
    <row r="131" spans="1:8" s="367" customFormat="1" ht="12.75">
      <c r="A131" s="540" t="s">
        <v>317</v>
      </c>
      <c r="B131" s="541" t="s">
        <v>157</v>
      </c>
      <c r="C131" s="483"/>
      <c r="D131" s="483"/>
      <c r="E131" s="483"/>
      <c r="F131" s="483"/>
      <c r="G131" s="483"/>
      <c r="H131" s="483"/>
    </row>
    <row r="132" spans="1:8" s="367" customFormat="1" ht="12.75">
      <c r="A132" s="543" t="s">
        <v>840</v>
      </c>
      <c r="B132" s="147">
        <f>D78</f>
        <v>12433388.200000003</v>
      </c>
      <c r="C132" s="483"/>
      <c r="D132" s="483"/>
      <c r="E132" s="483"/>
      <c r="F132" s="483"/>
      <c r="G132" s="483"/>
      <c r="H132" s="483"/>
    </row>
    <row r="133" spans="1:8" s="367" customFormat="1" ht="12.75">
      <c r="A133" s="543" t="s">
        <v>841</v>
      </c>
      <c r="B133" s="147"/>
      <c r="C133" s="483"/>
      <c r="D133" s="483"/>
      <c r="E133" s="483"/>
      <c r="F133" s="483"/>
      <c r="G133" s="483"/>
      <c r="H133" s="483"/>
    </row>
    <row r="134" spans="1:8" s="367" customFormat="1" ht="12.75" customHeight="1">
      <c r="A134" s="558" t="s">
        <v>864</v>
      </c>
      <c r="B134" s="147"/>
      <c r="C134" s="483"/>
      <c r="D134" s="483"/>
      <c r="E134" s="483"/>
      <c r="F134" s="483"/>
      <c r="G134" s="483"/>
      <c r="H134" s="483"/>
    </row>
    <row r="135" spans="1:8" s="367" customFormat="1" ht="25.5">
      <c r="A135" s="558" t="s">
        <v>865</v>
      </c>
      <c r="B135" s="147"/>
      <c r="C135" s="483"/>
      <c r="D135" s="483"/>
      <c r="E135" s="483"/>
      <c r="F135" s="483"/>
      <c r="G135" s="483"/>
      <c r="H135" s="483"/>
    </row>
    <row r="136" spans="1:8" s="367" customFormat="1" ht="25.5">
      <c r="A136" s="555" t="s">
        <v>866</v>
      </c>
      <c r="B136" s="147">
        <v>0</v>
      </c>
      <c r="C136" s="483"/>
      <c r="D136" s="483"/>
      <c r="E136" s="483"/>
      <c r="F136" s="483"/>
      <c r="G136" s="483"/>
      <c r="H136" s="483"/>
    </row>
    <row r="137" spans="1:8" s="367" customFormat="1" ht="25.5">
      <c r="A137" s="550" t="s">
        <v>1050</v>
      </c>
      <c r="B137" s="152">
        <f>C157</f>
        <v>238788.77</v>
      </c>
      <c r="C137" s="483"/>
      <c r="D137" s="483"/>
      <c r="E137" s="483"/>
      <c r="F137" s="483"/>
      <c r="G137" s="483"/>
      <c r="H137" s="483"/>
    </row>
    <row r="138" spans="1:8" s="367" customFormat="1" ht="12.75">
      <c r="A138" s="543" t="s">
        <v>867</v>
      </c>
      <c r="B138" s="150">
        <f>SUM(B132:B137)</f>
        <v>12672176.970000003</v>
      </c>
      <c r="C138" s="360"/>
      <c r="D138" s="360"/>
      <c r="E138" s="360"/>
      <c r="F138" s="483"/>
      <c r="G138" s="483"/>
      <c r="H138" s="483"/>
    </row>
    <row r="139" spans="1:8" s="367" customFormat="1" ht="12.75">
      <c r="A139" s="486"/>
      <c r="B139" s="559"/>
      <c r="C139" s="360"/>
      <c r="D139" s="360"/>
      <c r="E139" s="360"/>
      <c r="F139" s="483"/>
      <c r="G139" s="483"/>
      <c r="H139" s="483"/>
    </row>
    <row r="140" spans="1:8" s="367" customFormat="1" ht="12.75">
      <c r="A140" s="545" t="s">
        <v>888</v>
      </c>
      <c r="B140" s="150">
        <f>F115+H115+F122+H122-B138</f>
        <v>58689120.64</v>
      </c>
      <c r="C140" s="360"/>
      <c r="D140" s="360"/>
      <c r="E140" s="360"/>
      <c r="F140" s="483"/>
      <c r="G140" s="483"/>
      <c r="H140" s="483"/>
    </row>
    <row r="141" spans="1:8" s="367" customFormat="1" ht="12.75">
      <c r="A141" s="545"/>
      <c r="B141" s="150"/>
      <c r="C141" s="360"/>
      <c r="D141" s="360"/>
      <c r="E141" s="360"/>
      <c r="F141" s="483"/>
      <c r="G141" s="483"/>
      <c r="H141" s="483"/>
    </row>
    <row r="142" spans="1:8" s="563" customFormat="1" ht="25.5">
      <c r="A142" s="560" t="s">
        <v>889</v>
      </c>
      <c r="B142" s="502">
        <f>IF(D43&gt;0,B140/D43*100,0)</f>
        <v>21.705828936265466</v>
      </c>
      <c r="C142" s="561"/>
      <c r="D142" s="561"/>
      <c r="E142" s="362"/>
      <c r="F142" s="562"/>
      <c r="G142" s="562"/>
      <c r="H142" s="562"/>
    </row>
    <row r="143" spans="1:8" s="563" customFormat="1" ht="16.5" customHeight="1">
      <c r="A143" s="564"/>
      <c r="B143" s="564"/>
      <c r="C143" s="561"/>
      <c r="D143" s="561"/>
      <c r="E143" s="362"/>
      <c r="F143" s="562"/>
      <c r="G143" s="562"/>
      <c r="H143" s="562"/>
    </row>
    <row r="144" spans="1:12" s="367" customFormat="1" ht="12.75">
      <c r="A144" s="926" t="s">
        <v>318</v>
      </c>
      <c r="B144" s="927"/>
      <c r="C144" s="927"/>
      <c r="D144" s="927"/>
      <c r="E144" s="927"/>
      <c r="F144" s="927"/>
      <c r="G144" s="927"/>
      <c r="H144" s="928"/>
      <c r="I144" s="522"/>
      <c r="J144" s="522"/>
      <c r="K144" s="522"/>
      <c r="L144" s="363"/>
    </row>
    <row r="145" spans="1:12" s="367" customFormat="1" ht="44.25" customHeight="1">
      <c r="A145" s="565" t="s">
        <v>495</v>
      </c>
      <c r="B145" s="491" t="s">
        <v>103</v>
      </c>
      <c r="C145" s="491" t="s">
        <v>103</v>
      </c>
      <c r="D145" s="913" t="s">
        <v>104</v>
      </c>
      <c r="E145" s="914"/>
      <c r="F145" s="913" t="s">
        <v>105</v>
      </c>
      <c r="G145" s="914"/>
      <c r="H145" s="524" t="s">
        <v>1049</v>
      </c>
      <c r="I145" s="525"/>
      <c r="J145" s="526"/>
      <c r="K145" s="527"/>
      <c r="L145" s="363"/>
    </row>
    <row r="146" spans="1:12" s="367" customFormat="1" ht="12.75">
      <c r="A146" s="566"/>
      <c r="B146" s="528" t="s">
        <v>74</v>
      </c>
      <c r="C146" s="528" t="s">
        <v>75</v>
      </c>
      <c r="D146" s="491" t="str">
        <f>CONCATENATE("Até o  ",B12)</f>
        <v>Até o  Bimestre</v>
      </c>
      <c r="E146" s="529" t="s">
        <v>77</v>
      </c>
      <c r="F146" s="491" t="str">
        <f>CONCATENATE("Até o  ",B12)</f>
        <v>Até o  Bimestre</v>
      </c>
      <c r="G146" s="529" t="s">
        <v>77</v>
      </c>
      <c r="H146" s="530"/>
      <c r="I146" s="527"/>
      <c r="J146" s="527"/>
      <c r="K146" s="363"/>
      <c r="L146" s="363"/>
    </row>
    <row r="147" spans="1:12" s="367" customFormat="1" ht="12.75">
      <c r="A147" s="567"/>
      <c r="B147" s="493"/>
      <c r="C147" s="495" t="s">
        <v>108</v>
      </c>
      <c r="D147" s="495" t="s">
        <v>109</v>
      </c>
      <c r="E147" s="531" t="s">
        <v>138</v>
      </c>
      <c r="F147" s="495" t="s">
        <v>110</v>
      </c>
      <c r="G147" s="531" t="s">
        <v>484</v>
      </c>
      <c r="H147" s="532" t="s">
        <v>328</v>
      </c>
      <c r="I147" s="527"/>
      <c r="J147" s="527"/>
      <c r="K147" s="527"/>
      <c r="L147" s="363"/>
    </row>
    <row r="148" spans="1:12" s="367" customFormat="1" ht="25.5">
      <c r="A148" s="498" t="s">
        <v>868</v>
      </c>
      <c r="B148" s="147"/>
      <c r="C148" s="147"/>
      <c r="D148" s="147"/>
      <c r="E148" s="147">
        <f aca="true" t="shared" si="7" ref="E148:E153">IF(C148&gt;0,D148/C148*100,0)</f>
        <v>0</v>
      </c>
      <c r="F148" s="167"/>
      <c r="G148" s="146">
        <f aca="true" t="shared" si="8" ref="G148:G153">IF(C148&gt;0,F148/C148*100,0)</f>
        <v>0</v>
      </c>
      <c r="H148" s="148"/>
      <c r="I148" s="363"/>
      <c r="J148" s="363"/>
      <c r="K148" s="363"/>
      <c r="L148" s="363"/>
    </row>
    <row r="149" spans="1:8" s="367" customFormat="1" ht="14.25" customHeight="1">
      <c r="A149" s="498" t="s">
        <v>869</v>
      </c>
      <c r="B149" s="162">
        <v>16521000</v>
      </c>
      <c r="C149" s="147">
        <v>22721000</v>
      </c>
      <c r="D149" s="147">
        <v>6200000.78</v>
      </c>
      <c r="E149" s="147">
        <f t="shared" si="7"/>
        <v>27.287534791602486</v>
      </c>
      <c r="F149" s="145">
        <v>1909236.91</v>
      </c>
      <c r="G149" s="145">
        <f t="shared" si="8"/>
        <v>8.402961621407508</v>
      </c>
      <c r="H149" s="147"/>
    </row>
    <row r="150" spans="1:8" s="367" customFormat="1" ht="12.75">
      <c r="A150" s="558" t="s">
        <v>870</v>
      </c>
      <c r="B150" s="145"/>
      <c r="C150" s="145"/>
      <c r="D150" s="145"/>
      <c r="E150" s="145">
        <f t="shared" si="7"/>
        <v>0</v>
      </c>
      <c r="F150" s="145"/>
      <c r="G150" s="145">
        <f t="shared" si="8"/>
        <v>0</v>
      </c>
      <c r="H150" s="147"/>
    </row>
    <row r="151" spans="1:8" s="367" customFormat="1" ht="12.75" customHeight="1">
      <c r="A151" s="568" t="s">
        <v>871</v>
      </c>
      <c r="B151" s="162">
        <v>15149200</v>
      </c>
      <c r="C151" s="147">
        <v>19369977.02</v>
      </c>
      <c r="D151" s="147">
        <v>8668157.91</v>
      </c>
      <c r="E151" s="147">
        <f t="shared" si="7"/>
        <v>44.750481123699345</v>
      </c>
      <c r="F151" s="145">
        <v>4151364.42</v>
      </c>
      <c r="G151" s="151">
        <f t="shared" si="8"/>
        <v>21.431953252776754</v>
      </c>
      <c r="H151" s="152"/>
    </row>
    <row r="152" spans="1:8" s="367" customFormat="1" ht="25.5" customHeight="1">
      <c r="A152" s="568" t="s">
        <v>890</v>
      </c>
      <c r="B152" s="150">
        <f>SUM(B148:B151)</f>
        <v>31670200</v>
      </c>
      <c r="C152" s="150">
        <f>SUM(C148:C151)</f>
        <v>42090977.019999996</v>
      </c>
      <c r="D152" s="150">
        <f>SUM(D148:D151)</f>
        <v>14868158.690000001</v>
      </c>
      <c r="E152" s="150">
        <f t="shared" si="7"/>
        <v>35.32386212592601</v>
      </c>
      <c r="F152" s="150">
        <f>SUM(F148:F151)</f>
        <v>6060601.33</v>
      </c>
      <c r="G152" s="151">
        <f t="shared" si="8"/>
        <v>14.398813615374712</v>
      </c>
      <c r="H152" s="152">
        <f>SUM(H148:H151)</f>
        <v>0</v>
      </c>
    </row>
    <row r="153" spans="1:8" s="367" customFormat="1" ht="12.75">
      <c r="A153" s="568" t="s">
        <v>891</v>
      </c>
      <c r="B153" s="244">
        <f>B129+B152</f>
        <v>274819000</v>
      </c>
      <c r="C153" s="150">
        <f>C129+C152</f>
        <v>308010027.02</v>
      </c>
      <c r="D153" s="150">
        <f>D129+D152</f>
        <v>132598096.25999999</v>
      </c>
      <c r="E153" s="150">
        <f t="shared" si="7"/>
        <v>43.04992845294287</v>
      </c>
      <c r="F153" s="151">
        <f>F129+F152</f>
        <v>82055157.41999999</v>
      </c>
      <c r="G153" s="151">
        <f t="shared" si="8"/>
        <v>26.640417590909117</v>
      </c>
      <c r="H153" s="152">
        <f>H129+H152</f>
        <v>0</v>
      </c>
    </row>
    <row r="154" spans="1:8" s="367" customFormat="1" ht="12.75">
      <c r="A154" s="569"/>
      <c r="B154" s="539"/>
      <c r="C154" s="539"/>
      <c r="D154" s="539"/>
      <c r="E154" s="539"/>
      <c r="F154" s="539"/>
      <c r="G154" s="539"/>
      <c r="H154" s="539"/>
    </row>
    <row r="155" spans="1:8" s="367" customFormat="1" ht="37.5" customHeight="1">
      <c r="A155" s="570" t="s">
        <v>139</v>
      </c>
      <c r="B155" s="565" t="str">
        <f>CONCATENATE("SALDO ATÉ O  ",UPPER(B12))</f>
        <v>SALDO ATÉ O  BIMESTRE</v>
      </c>
      <c r="C155" s="565" t="s">
        <v>639</v>
      </c>
      <c r="D155" s="483"/>
      <c r="E155" s="483"/>
      <c r="F155" s="483"/>
      <c r="G155" s="483"/>
      <c r="H155" s="483"/>
    </row>
    <row r="156" spans="1:8" s="367" customFormat="1" ht="12.75">
      <c r="A156" s="571" t="s">
        <v>872</v>
      </c>
      <c r="B156" s="148"/>
      <c r="C156" s="148"/>
      <c r="D156" s="483"/>
      <c r="E156" s="483"/>
      <c r="F156" s="483"/>
      <c r="G156" s="483"/>
      <c r="H156" s="483"/>
    </row>
    <row r="157" spans="1:8" s="367" customFormat="1" ht="12.75">
      <c r="A157" s="572" t="s">
        <v>873</v>
      </c>
      <c r="B157" s="147">
        <v>14069.46</v>
      </c>
      <c r="C157" s="147">
        <v>238788.77</v>
      </c>
      <c r="D157" s="483"/>
      <c r="E157" s="483"/>
      <c r="F157" s="483"/>
      <c r="G157" s="483"/>
      <c r="H157" s="483"/>
    </row>
    <row r="158" spans="1:8" s="367" customFormat="1" ht="12.75">
      <c r="A158" s="573" t="s">
        <v>874</v>
      </c>
      <c r="B158" s="152">
        <v>0</v>
      </c>
      <c r="C158" s="152">
        <v>0</v>
      </c>
      <c r="D158" s="483"/>
      <c r="E158" s="483"/>
      <c r="F158" s="483"/>
      <c r="G158" s="483"/>
      <c r="H158" s="483"/>
    </row>
    <row r="159" spans="1:8" s="367" customFormat="1" ht="12.75">
      <c r="A159" s="362"/>
      <c r="B159" s="574"/>
      <c r="C159" s="575"/>
      <c r="D159" s="483"/>
      <c r="E159" s="483"/>
      <c r="F159" s="483"/>
      <c r="G159" s="483"/>
      <c r="H159" s="483"/>
    </row>
    <row r="160" spans="1:8" s="367" customFormat="1" ht="12.75">
      <c r="A160" s="922" t="s">
        <v>481</v>
      </c>
      <c r="B160" s="922" t="s">
        <v>135</v>
      </c>
      <c r="C160" s="576" t="s">
        <v>842</v>
      </c>
      <c r="D160" s="483"/>
      <c r="E160" s="483"/>
      <c r="F160" s="483"/>
      <c r="G160" s="483"/>
      <c r="H160" s="483"/>
    </row>
    <row r="161" spans="1:8" s="367" customFormat="1" ht="12.75">
      <c r="A161" s="923"/>
      <c r="B161" s="923"/>
      <c r="C161" s="577" t="s">
        <v>843</v>
      </c>
      <c r="D161" s="483"/>
      <c r="E161" s="483"/>
      <c r="F161" s="483"/>
      <c r="G161" s="483"/>
      <c r="H161" s="483"/>
    </row>
    <row r="162" spans="1:8" s="367" customFormat="1" ht="12.75">
      <c r="A162" s="578" t="s">
        <v>875</v>
      </c>
      <c r="B162" s="146">
        <v>3225672.53</v>
      </c>
      <c r="C162" s="148">
        <v>9599522.63</v>
      </c>
      <c r="D162" s="483"/>
      <c r="E162" s="483"/>
      <c r="F162" s="483"/>
      <c r="G162" s="483"/>
      <c r="H162" s="483"/>
    </row>
    <row r="163" spans="1:8" s="367" customFormat="1" ht="12.75">
      <c r="A163" s="579" t="s">
        <v>876</v>
      </c>
      <c r="B163" s="145">
        <f>D75+D76</f>
        <v>44032776.36</v>
      </c>
      <c r="C163" s="147">
        <f>D50</f>
        <v>6559188.96</v>
      </c>
      <c r="D163" s="483"/>
      <c r="E163" s="483"/>
      <c r="F163" s="483"/>
      <c r="G163" s="483"/>
      <c r="H163" s="483"/>
    </row>
    <row r="164" spans="1:8" s="367" customFormat="1" ht="12.75">
      <c r="A164" s="579" t="s">
        <v>877</v>
      </c>
      <c r="B164" s="145">
        <f>SUM(B165:B166)</f>
        <v>36514836.12</v>
      </c>
      <c r="C164" s="147">
        <f>SUM(C165:C166)</f>
        <v>4096144.7800000003</v>
      </c>
      <c r="D164" s="483"/>
      <c r="E164" s="483"/>
      <c r="F164" s="483"/>
      <c r="G164" s="483"/>
      <c r="H164" s="483"/>
    </row>
    <row r="165" spans="1:8" s="367" customFormat="1" ht="12.75">
      <c r="A165" s="579" t="s">
        <v>878</v>
      </c>
      <c r="B165" s="145">
        <v>33289163.59</v>
      </c>
      <c r="C165" s="147">
        <v>1909236.91</v>
      </c>
      <c r="D165" s="483"/>
      <c r="E165" s="483"/>
      <c r="F165" s="483"/>
      <c r="G165" s="483"/>
      <c r="H165" s="483"/>
    </row>
    <row r="166" spans="1:8" s="367" customFormat="1" ht="12.75">
      <c r="A166" s="579" t="s">
        <v>879</v>
      </c>
      <c r="B166" s="145">
        <v>3225672.53</v>
      </c>
      <c r="C166" s="147">
        <v>2186907.87</v>
      </c>
      <c r="D166" s="483"/>
      <c r="E166" s="483"/>
      <c r="F166" s="483"/>
      <c r="G166" s="483"/>
      <c r="H166" s="483"/>
    </row>
    <row r="167" spans="1:8" s="367" customFormat="1" ht="12.75">
      <c r="A167" s="579" t="s">
        <v>880</v>
      </c>
      <c r="B167" s="145">
        <v>52036.46</v>
      </c>
      <c r="C167" s="147">
        <v>62684.25</v>
      </c>
      <c r="D167" s="483"/>
      <c r="E167" s="483"/>
      <c r="F167" s="483"/>
      <c r="G167" s="483"/>
      <c r="H167" s="483"/>
    </row>
    <row r="168" spans="1:8" s="367" customFormat="1" ht="12.75">
      <c r="A168" s="580" t="s">
        <v>881</v>
      </c>
      <c r="B168" s="145">
        <f>B162+B163-B164+B167</f>
        <v>10795649.230000004</v>
      </c>
      <c r="C168" s="147">
        <f>C162+C163-C164+C167</f>
        <v>12125251.059999999</v>
      </c>
      <c r="D168" s="483"/>
      <c r="E168" s="483"/>
      <c r="F168" s="483"/>
      <c r="G168" s="483"/>
      <c r="H168" s="483"/>
    </row>
    <row r="169" spans="1:8" s="367" customFormat="1" ht="12.75">
      <c r="A169" s="580" t="s">
        <v>882</v>
      </c>
      <c r="B169" s="145">
        <f>B170-B171+B172+B173</f>
        <v>0</v>
      </c>
      <c r="C169" s="147">
        <f>C170-C171+C172+C173</f>
        <v>0</v>
      </c>
      <c r="D169" s="483"/>
      <c r="E169" s="483"/>
      <c r="F169" s="483"/>
      <c r="G169" s="483"/>
      <c r="H169" s="483"/>
    </row>
    <row r="170" spans="1:8" s="367" customFormat="1" ht="12.75">
      <c r="A170" s="445" t="s">
        <v>883</v>
      </c>
      <c r="B170" s="145"/>
      <c r="C170" s="147"/>
      <c r="D170" s="483"/>
      <c r="E170" s="483"/>
      <c r="F170" s="483"/>
      <c r="G170" s="483"/>
      <c r="H170" s="483"/>
    </row>
    <row r="171" spans="1:8" s="367" customFormat="1" ht="12.75">
      <c r="A171" s="445" t="s">
        <v>884</v>
      </c>
      <c r="B171" s="145"/>
      <c r="C171" s="147"/>
      <c r="D171" s="483"/>
      <c r="E171" s="483"/>
      <c r="F171" s="483"/>
      <c r="G171" s="483"/>
      <c r="H171" s="483"/>
    </row>
    <row r="172" spans="1:8" s="367" customFormat="1" ht="12.75">
      <c r="A172" s="445" t="s">
        <v>885</v>
      </c>
      <c r="B172" s="145"/>
      <c r="C172" s="147"/>
      <c r="D172" s="483"/>
      <c r="E172" s="483"/>
      <c r="F172" s="483"/>
      <c r="G172" s="483"/>
      <c r="H172" s="483"/>
    </row>
    <row r="173" spans="1:8" s="367" customFormat="1" ht="12.75">
      <c r="A173" s="445" t="s">
        <v>886</v>
      </c>
      <c r="B173" s="145"/>
      <c r="C173" s="147"/>
      <c r="D173" s="483"/>
      <c r="E173" s="483"/>
      <c r="F173" s="483"/>
      <c r="G173" s="483"/>
      <c r="H173" s="483"/>
    </row>
    <row r="174" spans="1:8" s="367" customFormat="1" ht="12.75">
      <c r="A174" s="581" t="s">
        <v>887</v>
      </c>
      <c r="B174" s="151">
        <f>B168+B169</f>
        <v>10795649.230000004</v>
      </c>
      <c r="C174" s="152">
        <f>C168+C169</f>
        <v>12125251.059999999</v>
      </c>
      <c r="D174" s="483"/>
      <c r="E174" s="483"/>
      <c r="F174" s="483"/>
      <c r="G174" s="483"/>
      <c r="H174" s="483"/>
    </row>
    <row r="175" spans="1:8" s="367" customFormat="1" ht="12.75">
      <c r="A175" s="582" t="s">
        <v>1067</v>
      </c>
      <c r="B175" s="360"/>
      <c r="C175" s="360"/>
      <c r="D175" s="360"/>
      <c r="E175" s="360"/>
      <c r="F175" s="360"/>
      <c r="G175" s="360"/>
      <c r="H175" s="360"/>
    </row>
    <row r="176" spans="1:8" s="367" customFormat="1" ht="12.75" customHeight="1">
      <c r="A176" s="583" t="s">
        <v>494</v>
      </c>
      <c r="B176" s="360"/>
      <c r="C176" s="360"/>
      <c r="D176" s="360"/>
      <c r="E176" s="360"/>
      <c r="F176" s="360"/>
      <c r="G176" s="483"/>
      <c r="H176" s="483"/>
    </row>
    <row r="177" spans="1:8" s="367" customFormat="1" ht="27" customHeight="1">
      <c r="A177" s="916" t="s">
        <v>493</v>
      </c>
      <c r="B177" s="917"/>
      <c r="C177" s="917"/>
      <c r="D177" s="917"/>
      <c r="E177" s="917"/>
      <c r="F177" s="917"/>
      <c r="G177" s="917"/>
      <c r="H177" s="917"/>
    </row>
    <row r="178" spans="1:8" s="367" customFormat="1" ht="12.75" customHeight="1">
      <c r="A178" s="584" t="s">
        <v>492</v>
      </c>
      <c r="B178" s="483"/>
      <c r="C178" s="483"/>
      <c r="D178" s="483"/>
      <c r="E178" s="483"/>
      <c r="F178" s="483"/>
      <c r="G178" s="483"/>
      <c r="H178" s="483"/>
    </row>
    <row r="179" spans="1:8" s="367" customFormat="1" ht="12.75" customHeight="1">
      <c r="A179" s="585" t="s">
        <v>491</v>
      </c>
      <c r="B179" s="585"/>
      <c r="C179" s="585"/>
      <c r="D179" s="585"/>
      <c r="E179" s="585"/>
      <c r="F179" s="585"/>
      <c r="G179" s="584"/>
      <c r="H179" s="584"/>
    </row>
    <row r="180" spans="1:8" s="367" customFormat="1" ht="12.75" customHeight="1">
      <c r="A180" s="584" t="s">
        <v>490</v>
      </c>
      <c r="B180" s="483"/>
      <c r="C180" s="483"/>
      <c r="D180" s="483"/>
      <c r="E180" s="483"/>
      <c r="F180" s="483"/>
      <c r="G180" s="483"/>
      <c r="H180" s="483"/>
    </row>
    <row r="181" spans="1:8" ht="15" customHeight="1">
      <c r="A181" s="586" t="s">
        <v>614</v>
      </c>
      <c r="B181" s="586"/>
      <c r="C181" s="586"/>
      <c r="D181" s="586"/>
      <c r="E181" s="586"/>
      <c r="F181" s="586"/>
      <c r="G181" s="586"/>
      <c r="H181" s="586"/>
    </row>
    <row r="182" spans="1:8" ht="16.5" customHeight="1">
      <c r="A182" s="587" t="s">
        <v>615</v>
      </c>
      <c r="B182" s="587"/>
      <c r="C182" s="587"/>
      <c r="D182" s="588"/>
      <c r="E182" s="588"/>
      <c r="F182" s="588"/>
      <c r="G182" s="588"/>
      <c r="H182" s="588"/>
    </row>
    <row r="183" spans="1:8" ht="11.25" customHeight="1">
      <c r="A183" s="588"/>
      <c r="B183" s="588"/>
      <c r="C183" s="588"/>
      <c r="D183" s="588"/>
      <c r="E183" s="588"/>
      <c r="F183" s="588"/>
      <c r="G183" s="588"/>
      <c r="H183" s="588"/>
    </row>
    <row r="184" spans="1:8" ht="11.25" customHeight="1">
      <c r="A184" s="588"/>
      <c r="B184" s="588"/>
      <c r="C184" s="588"/>
      <c r="D184" s="588"/>
      <c r="E184" s="588"/>
      <c r="F184" s="588"/>
      <c r="G184" s="588"/>
      <c r="H184" s="588"/>
    </row>
    <row r="185" spans="1:8" ht="11.25" customHeight="1">
      <c r="A185" s="588"/>
      <c r="B185" s="588"/>
      <c r="C185" s="588"/>
      <c r="D185" s="588"/>
      <c r="E185" s="588"/>
      <c r="F185" s="588"/>
      <c r="G185" s="588"/>
      <c r="H185" s="588"/>
    </row>
    <row r="186" spans="1:8" ht="11.25" customHeight="1">
      <c r="A186" s="588"/>
      <c r="B186" s="588"/>
      <c r="C186" s="588"/>
      <c r="D186" s="588"/>
      <c r="E186" s="588"/>
      <c r="F186" s="588"/>
      <c r="G186" s="588"/>
      <c r="H186" s="588"/>
    </row>
    <row r="187" spans="1:8" ht="11.25" customHeight="1">
      <c r="A187" s="588"/>
      <c r="B187" s="588"/>
      <c r="C187" s="588"/>
      <c r="D187" s="588"/>
      <c r="E187" s="588"/>
      <c r="F187" s="588"/>
      <c r="G187" s="588"/>
      <c r="H187" s="588"/>
    </row>
    <row r="188" spans="1:8" ht="11.25" customHeight="1">
      <c r="A188" s="588"/>
      <c r="B188" s="588"/>
      <c r="C188" s="588"/>
      <c r="D188" s="588"/>
      <c r="E188" s="588"/>
      <c r="F188" s="588"/>
      <c r="G188" s="588"/>
      <c r="H188" s="588"/>
    </row>
    <row r="189" spans="1:8" ht="11.25" customHeight="1">
      <c r="A189" s="589"/>
      <c r="B189" s="588"/>
      <c r="C189" s="588"/>
      <c r="D189" s="588"/>
      <c r="E189" s="588"/>
      <c r="F189" s="588"/>
      <c r="G189" s="588"/>
      <c r="H189" s="588"/>
    </row>
    <row r="190" spans="1:6" ht="11.25" customHeight="1">
      <c r="A190" s="359" t="s">
        <v>1056</v>
      </c>
      <c r="B190" s="360"/>
      <c r="C190" s="360"/>
      <c r="D190" s="915" t="s">
        <v>1058</v>
      </c>
      <c r="E190" s="915"/>
      <c r="F190" s="915"/>
    </row>
    <row r="191" spans="1:6" ht="11.25" customHeight="1">
      <c r="A191" s="361" t="s">
        <v>1057</v>
      </c>
      <c r="B191" s="360"/>
      <c r="C191" s="360"/>
      <c r="D191" s="915" t="s">
        <v>1059</v>
      </c>
      <c r="E191" s="915"/>
      <c r="F191" s="915"/>
    </row>
    <row r="192" spans="1:6" ht="11.25" customHeight="1">
      <c r="A192" s="362"/>
      <c r="B192" s="363"/>
      <c r="C192" s="364"/>
      <c r="D192" s="918" t="s">
        <v>1072</v>
      </c>
      <c r="E192" s="918"/>
      <c r="F192" s="918"/>
    </row>
    <row r="193" spans="2:6" ht="11.25" customHeight="1">
      <c r="B193" s="590"/>
      <c r="C193" s="590"/>
      <c r="D193" s="590"/>
      <c r="F193" s="591"/>
    </row>
    <row r="194" spans="2:6" ht="11.25" customHeight="1">
      <c r="B194" s="590"/>
      <c r="C194" s="590"/>
      <c r="D194" s="590"/>
      <c r="F194" s="591"/>
    </row>
    <row r="195" ht="11.25" customHeight="1">
      <c r="B195" s="592"/>
    </row>
    <row r="197" spans="1:6" ht="11.25" customHeight="1">
      <c r="A197" s="362" t="s">
        <v>1074</v>
      </c>
      <c r="B197" s="363"/>
      <c r="C197" s="363"/>
      <c r="D197" s="918" t="s">
        <v>1060</v>
      </c>
      <c r="E197" s="918"/>
      <c r="F197" s="918"/>
    </row>
    <row r="198" spans="1:6" ht="11.25" customHeight="1">
      <c r="A198" s="361" t="s">
        <v>1075</v>
      </c>
      <c r="B198" s="363"/>
      <c r="C198" s="363"/>
      <c r="D198" s="361" t="s">
        <v>1061</v>
      </c>
      <c r="E198" s="361"/>
      <c r="F198" s="361"/>
    </row>
    <row r="199" spans="1:6" ht="11.25" customHeight="1">
      <c r="A199" s="363"/>
      <c r="B199" s="363"/>
      <c r="C199" s="363"/>
      <c r="D199" s="930" t="s">
        <v>1073</v>
      </c>
      <c r="E199" s="930"/>
      <c r="F199" s="930"/>
    </row>
  </sheetData>
  <sheetProtection/>
  <mergeCells count="25">
    <mergeCell ref="D197:F197"/>
    <mergeCell ref="D199:F199"/>
    <mergeCell ref="A11:F11"/>
    <mergeCell ref="A13:F13"/>
    <mergeCell ref="A14:F14"/>
    <mergeCell ref="A144:H144"/>
    <mergeCell ref="A17:E17"/>
    <mergeCell ref="D82:E82"/>
    <mergeCell ref="F112:G112"/>
    <mergeCell ref="F145:G145"/>
    <mergeCell ref="D18:E18"/>
    <mergeCell ref="D64:E64"/>
    <mergeCell ref="A160:A161"/>
    <mergeCell ref="B160:B161"/>
    <mergeCell ref="A112:A114"/>
    <mergeCell ref="D112:E112"/>
    <mergeCell ref="A82:A84"/>
    <mergeCell ref="A63:E63"/>
    <mergeCell ref="D45:E45"/>
    <mergeCell ref="D145:E145"/>
    <mergeCell ref="D191:F191"/>
    <mergeCell ref="A177:H177"/>
    <mergeCell ref="D190:F190"/>
    <mergeCell ref="F82:G82"/>
    <mergeCell ref="D192:F192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showGridLines="0" zoomScalePageLayoutView="0" workbookViewId="0" topLeftCell="A1">
      <selection activeCell="A1" sqref="A1"/>
    </sheetView>
  </sheetViews>
  <sheetFormatPr defaultColWidth="6.7109375" defaultRowHeight="11.25" customHeight="1"/>
  <cols>
    <col min="1" max="1" width="52.00390625" style="367" customWidth="1"/>
    <col min="2" max="2" width="22.57421875" style="367" bestFit="1" customWidth="1"/>
    <col min="3" max="3" width="22.00390625" style="367" bestFit="1" customWidth="1"/>
    <col min="4" max="4" width="23.00390625" style="367" bestFit="1" customWidth="1"/>
    <col min="5" max="5" width="21.7109375" style="367" bestFit="1" customWidth="1"/>
    <col min="6" max="6" width="23.421875" style="367" bestFit="1" customWidth="1"/>
    <col min="7" max="7" width="8.7109375" style="363" customWidth="1"/>
    <col min="8" max="8" width="8.7109375" style="367" customWidth="1"/>
    <col min="9" max="9" width="14.00390625" style="367" customWidth="1"/>
    <col min="10" max="10" width="24.140625" style="367" customWidth="1"/>
    <col min="11" max="16384" width="6.7109375" style="367" customWidth="1"/>
  </cols>
  <sheetData>
    <row r="1" ht="12.75"/>
    <row r="2" ht="25.5" customHeight="1">
      <c r="A2" s="430" t="s">
        <v>1051</v>
      </c>
    </row>
    <row r="3" ht="15.75" customHeight="1">
      <c r="A3" s="431" t="s">
        <v>1052</v>
      </c>
    </row>
    <row r="4" ht="15.75" customHeight="1">
      <c r="A4" s="431" t="s">
        <v>1053</v>
      </c>
    </row>
    <row r="5" ht="15.75" customHeight="1">
      <c r="A5" s="431" t="s">
        <v>1054</v>
      </c>
    </row>
    <row r="6" spans="1:10" ht="15.75">
      <c r="A6" s="432" t="s">
        <v>338</v>
      </c>
      <c r="B6" s="432"/>
      <c r="C6" s="432"/>
      <c r="D6" s="432"/>
      <c r="E6" s="432"/>
      <c r="F6" s="432"/>
      <c r="G6" s="433"/>
      <c r="H6" s="433"/>
      <c r="I6" s="433"/>
      <c r="J6" s="433"/>
    </row>
    <row r="7" spans="1:10" ht="12.75">
      <c r="A7" s="434"/>
      <c r="B7" s="434"/>
      <c r="C7" s="434"/>
      <c r="D7" s="434"/>
      <c r="E7" s="434"/>
      <c r="F7" s="434"/>
      <c r="G7" s="434"/>
      <c r="H7" s="434"/>
      <c r="I7" s="434"/>
      <c r="J7" s="434"/>
    </row>
    <row r="8" spans="1:11" s="438" customFormat="1" ht="15.75" customHeight="1">
      <c r="A8" s="435" t="s">
        <v>1051</v>
      </c>
      <c r="B8" s="436"/>
      <c r="C8" s="436"/>
      <c r="D8" s="436"/>
      <c r="E8" s="436"/>
      <c r="F8" s="436"/>
      <c r="G8" s="436"/>
      <c r="H8" s="436"/>
      <c r="I8" s="436"/>
      <c r="J8" s="436"/>
      <c r="K8" s="437"/>
    </row>
    <row r="9" spans="1:11" ht="25.5">
      <c r="A9" s="436" t="s">
        <v>68</v>
      </c>
      <c r="B9" s="436"/>
      <c r="C9" s="436"/>
      <c r="D9" s="436"/>
      <c r="E9" s="436"/>
      <c r="F9" s="436"/>
      <c r="G9" s="436"/>
      <c r="H9" s="436"/>
      <c r="I9" s="436"/>
      <c r="J9" s="436"/>
      <c r="K9" s="439"/>
    </row>
    <row r="10" spans="1:11" ht="38.25">
      <c r="A10" s="440" t="s">
        <v>193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39"/>
    </row>
    <row r="11" spans="1:11" ht="12.75">
      <c r="A11" s="945" t="s">
        <v>70</v>
      </c>
      <c r="B11" s="945"/>
      <c r="C11" s="945"/>
      <c r="D11" s="945"/>
      <c r="E11" s="945"/>
      <c r="F11" s="945"/>
      <c r="G11" s="945"/>
      <c r="H11" s="945"/>
      <c r="I11" s="945"/>
      <c r="J11" s="945"/>
      <c r="K11" s="439"/>
    </row>
    <row r="12" spans="1:11" ht="12.75" customHeight="1">
      <c r="A12" s="441" t="s">
        <v>1055</v>
      </c>
      <c r="B12" s="442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443"/>
      <c r="D12" s="443"/>
      <c r="E12" s="443"/>
      <c r="F12" s="443"/>
      <c r="G12" s="443"/>
      <c r="H12" s="443"/>
      <c r="I12" s="443"/>
      <c r="J12" s="443"/>
      <c r="K12" s="439"/>
    </row>
    <row r="13" spans="1:11" ht="12.75" hidden="1">
      <c r="A13" s="945"/>
      <c r="B13" s="945"/>
      <c r="C13" s="945"/>
      <c r="D13" s="945"/>
      <c r="E13" s="945"/>
      <c r="F13" s="945"/>
      <c r="G13" s="945"/>
      <c r="H13" s="945"/>
      <c r="I13" s="945"/>
      <c r="J13" s="945"/>
      <c r="K13" s="439"/>
    </row>
    <row r="14" spans="1:11" ht="12.75" hidden="1">
      <c r="A14" s="945"/>
      <c r="B14" s="945"/>
      <c r="C14" s="945"/>
      <c r="D14" s="945"/>
      <c r="E14" s="945"/>
      <c r="F14" s="945"/>
      <c r="G14" s="945"/>
      <c r="H14" s="945"/>
      <c r="I14" s="945"/>
      <c r="J14" s="945"/>
      <c r="K14" s="439"/>
    </row>
    <row r="15" spans="1:11" ht="12.75">
      <c r="A15" s="444"/>
      <c r="B15" s="947"/>
      <c r="C15" s="947"/>
      <c r="D15" s="444"/>
      <c r="E15" s="444"/>
      <c r="F15" s="947"/>
      <c r="G15" s="947"/>
      <c r="H15" s="947"/>
      <c r="I15" s="947"/>
      <c r="J15" s="444"/>
      <c r="K15" s="439"/>
    </row>
    <row r="16" spans="1:7" ht="12.75">
      <c r="A16" s="445" t="s">
        <v>339</v>
      </c>
      <c r="B16" s="434"/>
      <c r="C16" s="434"/>
      <c r="D16" s="446" t="s">
        <v>360</v>
      </c>
      <c r="E16" s="439"/>
      <c r="G16" s="367"/>
    </row>
    <row r="17" spans="1:7" ht="14.25" customHeight="1">
      <c r="A17" s="948" t="s">
        <v>73</v>
      </c>
      <c r="B17" s="447" t="s">
        <v>197</v>
      </c>
      <c r="C17" s="448" t="s">
        <v>72</v>
      </c>
      <c r="D17" s="449" t="s">
        <v>584</v>
      </c>
      <c r="E17" s="946"/>
      <c r="G17" s="367"/>
    </row>
    <row r="18" spans="1:5" s="363" customFormat="1" ht="12.75" customHeight="1">
      <c r="A18" s="948"/>
      <c r="B18" s="450" t="s">
        <v>79</v>
      </c>
      <c r="C18" s="451" t="s">
        <v>80</v>
      </c>
      <c r="D18" s="452" t="s">
        <v>319</v>
      </c>
      <c r="E18" s="946"/>
    </row>
    <row r="19" spans="1:8" ht="15.75">
      <c r="A19" s="453" t="s">
        <v>585</v>
      </c>
      <c r="B19" s="151"/>
      <c r="C19" s="152"/>
      <c r="D19" s="163">
        <f>B19-C19</f>
        <v>0</v>
      </c>
      <c r="E19" s="363"/>
      <c r="F19" s="363"/>
      <c r="H19" s="363"/>
    </row>
    <row r="20" spans="1:9" ht="12.75">
      <c r="A20" s="434"/>
      <c r="B20" s="434"/>
      <c r="C20" s="434"/>
      <c r="D20" s="434"/>
      <c r="E20" s="434"/>
      <c r="F20" s="434"/>
      <c r="G20" s="434"/>
      <c r="H20" s="434"/>
      <c r="I20" s="439"/>
    </row>
    <row r="21" spans="1:7" ht="12.75" customHeight="1">
      <c r="A21" s="454"/>
      <c r="B21" s="455" t="s">
        <v>471</v>
      </c>
      <c r="C21" s="455" t="s">
        <v>472</v>
      </c>
      <c r="D21" s="455" t="s">
        <v>340</v>
      </c>
      <c r="G21" s="367"/>
    </row>
    <row r="22" spans="1:7" ht="12.75">
      <c r="A22" s="456" t="s">
        <v>106</v>
      </c>
      <c r="B22" s="457" t="s">
        <v>75</v>
      </c>
      <c r="C22" s="457" t="s">
        <v>473</v>
      </c>
      <c r="D22" s="457"/>
      <c r="G22" s="367"/>
    </row>
    <row r="23" spans="1:7" ht="12.75">
      <c r="A23" s="458"/>
      <c r="B23" s="459" t="s">
        <v>108</v>
      </c>
      <c r="C23" s="451" t="s">
        <v>109</v>
      </c>
      <c r="D23" s="459" t="s">
        <v>474</v>
      </c>
      <c r="G23" s="367"/>
    </row>
    <row r="24" spans="1:7" ht="12.75">
      <c r="A24" s="453" t="s">
        <v>112</v>
      </c>
      <c r="B24" s="150">
        <f>B25+B26+B27</f>
        <v>0</v>
      </c>
      <c r="C24" s="149">
        <f>C25+C26+C27</f>
        <v>0</v>
      </c>
      <c r="D24" s="150">
        <f aca="true" t="shared" si="0" ref="D24:D29">B24-C24</f>
        <v>0</v>
      </c>
      <c r="G24" s="367"/>
    </row>
    <row r="25" spans="1:7" ht="12.75">
      <c r="A25" s="453" t="s">
        <v>199</v>
      </c>
      <c r="B25" s="150">
        <v>0</v>
      </c>
      <c r="C25" s="149">
        <v>0</v>
      </c>
      <c r="D25" s="150">
        <f t="shared" si="0"/>
        <v>0</v>
      </c>
      <c r="G25" s="367"/>
    </row>
    <row r="26" spans="1:7" ht="12.75">
      <c r="A26" s="453" t="s">
        <v>200</v>
      </c>
      <c r="B26" s="150"/>
      <c r="C26" s="149"/>
      <c r="D26" s="150">
        <f t="shared" si="0"/>
        <v>0</v>
      </c>
      <c r="G26" s="367"/>
    </row>
    <row r="27" spans="1:7" ht="12.75">
      <c r="A27" s="453" t="s">
        <v>201</v>
      </c>
      <c r="B27" s="150">
        <v>0</v>
      </c>
      <c r="C27" s="149">
        <v>0</v>
      </c>
      <c r="D27" s="150">
        <f t="shared" si="0"/>
        <v>0</v>
      </c>
      <c r="G27" s="367"/>
    </row>
    <row r="28" spans="1:7" ht="12.75">
      <c r="A28" s="453" t="s">
        <v>321</v>
      </c>
      <c r="B28" s="150"/>
      <c r="C28" s="149"/>
      <c r="D28" s="150">
        <f t="shared" si="0"/>
        <v>0</v>
      </c>
      <c r="G28" s="367"/>
    </row>
    <row r="29" spans="1:7" ht="12" customHeight="1">
      <c r="A29" s="453" t="s">
        <v>844</v>
      </c>
      <c r="B29" s="149"/>
      <c r="C29" s="149"/>
      <c r="D29" s="150">
        <f t="shared" si="0"/>
        <v>0</v>
      </c>
      <c r="G29" s="367"/>
    </row>
    <row r="30" spans="1:7" ht="12.75">
      <c r="A30" s="453" t="s">
        <v>194</v>
      </c>
      <c r="B30" s="150">
        <f>B24-B28-B29</f>
        <v>0</v>
      </c>
      <c r="C30" s="150">
        <f>C24-C28-C29</f>
        <v>0</v>
      </c>
      <c r="D30" s="150">
        <f>D24-D28-D29</f>
        <v>0</v>
      </c>
      <c r="G30" s="367"/>
    </row>
    <row r="31" spans="1:7" ht="12.75">
      <c r="A31" s="460" t="s">
        <v>322</v>
      </c>
      <c r="B31" s="461">
        <f>B19-B30</f>
        <v>0</v>
      </c>
      <c r="C31" s="461">
        <f>C19-C30</f>
        <v>0</v>
      </c>
      <c r="D31" s="462">
        <f>D30-D19</f>
        <v>0</v>
      </c>
      <c r="G31" s="367"/>
    </row>
    <row r="32" spans="1:7" ht="12.75">
      <c r="A32" s="463" t="s">
        <v>323</v>
      </c>
      <c r="B32" s="464"/>
      <c r="C32" s="464"/>
      <c r="D32" s="465"/>
      <c r="E32" s="466"/>
      <c r="F32" s="363"/>
      <c r="G32" s="367"/>
    </row>
    <row r="33" spans="1:11" ht="12.75" customHeight="1">
      <c r="A33" s="949" t="s">
        <v>1068</v>
      </c>
      <c r="B33" s="950"/>
      <c r="C33" s="950"/>
      <c r="D33" s="950"/>
      <c r="E33" s="951"/>
      <c r="F33" s="951"/>
      <c r="G33" s="445"/>
      <c r="H33" s="445"/>
      <c r="I33" s="445"/>
      <c r="J33" s="445"/>
      <c r="K33" s="439"/>
    </row>
    <row r="34" spans="1:11" ht="12.75">
      <c r="A34" s="935" t="s">
        <v>324</v>
      </c>
      <c r="B34" s="935"/>
      <c r="C34" s="935"/>
      <c r="D34" s="935"/>
      <c r="E34" s="935"/>
      <c r="F34" s="935"/>
      <c r="G34" s="443"/>
      <c r="H34" s="443"/>
      <c r="I34" s="443"/>
      <c r="J34" s="443"/>
      <c r="K34" s="946"/>
    </row>
    <row r="35" spans="1:11" ht="15.75" customHeight="1">
      <c r="A35" s="936" t="s">
        <v>586</v>
      </c>
      <c r="B35" s="936"/>
      <c r="C35" s="936"/>
      <c r="D35" s="936"/>
      <c r="E35" s="936"/>
      <c r="F35" s="936"/>
      <c r="G35" s="467"/>
      <c r="H35" s="467"/>
      <c r="I35" s="467"/>
      <c r="J35" s="467"/>
      <c r="K35" s="946"/>
    </row>
    <row r="36" spans="1:11" ht="15.75">
      <c r="A36" s="467"/>
      <c r="B36" s="467"/>
      <c r="C36" s="467"/>
      <c r="D36" s="467"/>
      <c r="E36" s="467"/>
      <c r="F36" s="467"/>
      <c r="G36" s="467"/>
      <c r="H36" s="467"/>
      <c r="I36" s="467"/>
      <c r="J36" s="467"/>
      <c r="K36" s="946"/>
    </row>
    <row r="37" spans="1:11" ht="12.75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946"/>
    </row>
    <row r="38" spans="1:11" ht="12.75">
      <c r="A38" s="443"/>
      <c r="B38" s="443"/>
      <c r="C38" s="443"/>
      <c r="D38" s="443"/>
      <c r="E38" s="443"/>
      <c r="F38" s="443"/>
      <c r="G38" s="443"/>
      <c r="H38" s="443"/>
      <c r="I38" s="443"/>
      <c r="J38" s="443"/>
      <c r="K38" s="946"/>
    </row>
    <row r="39" ht="12.75"/>
    <row r="40" ht="12.75"/>
    <row r="41" spans="1:6" ht="12.75">
      <c r="A41" s="937" t="s">
        <v>1056</v>
      </c>
      <c r="B41" s="938"/>
      <c r="C41" s="941" t="s">
        <v>1058</v>
      </c>
      <c r="D41" s="942"/>
      <c r="E41" s="943" t="s">
        <v>1060</v>
      </c>
      <c r="F41" s="944"/>
    </row>
    <row r="42" spans="1:6" ht="11.25" customHeight="1">
      <c r="A42" s="939" t="s">
        <v>1057</v>
      </c>
      <c r="B42" s="940"/>
      <c r="C42" s="941" t="s">
        <v>1059</v>
      </c>
      <c r="D42" s="942"/>
      <c r="E42" s="943" t="s">
        <v>1061</v>
      </c>
      <c r="F42" s="944"/>
    </row>
  </sheetData>
  <sheetProtection/>
  <mergeCells count="18">
    <mergeCell ref="A11:J11"/>
    <mergeCell ref="K36:K38"/>
    <mergeCell ref="K34:K35"/>
    <mergeCell ref="A13:J13"/>
    <mergeCell ref="A14:J14"/>
    <mergeCell ref="E17:E18"/>
    <mergeCell ref="B15:C15"/>
    <mergeCell ref="F15:I15"/>
    <mergeCell ref="A17:A18"/>
    <mergeCell ref="A33:F33"/>
    <mergeCell ref="A34:F34"/>
    <mergeCell ref="A35:F35"/>
    <mergeCell ref="A41:B41"/>
    <mergeCell ref="A42:B42"/>
    <mergeCell ref="C41:D41"/>
    <mergeCell ref="C42:D42"/>
    <mergeCell ref="E41:F41"/>
    <mergeCell ref="E42:F42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scale="8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5"/>
  <sheetViews>
    <sheetView showGridLines="0" zoomScale="85" zoomScaleNormal="85" zoomScalePageLayoutView="0" workbookViewId="0" topLeftCell="A1">
      <selection activeCell="A1" sqref="A1"/>
    </sheetView>
  </sheetViews>
  <sheetFormatPr defaultColWidth="7.8515625" defaultRowHeight="11.25" customHeight="1"/>
  <cols>
    <col min="1" max="1" width="24.57421875" style="183" customWidth="1"/>
    <col min="2" max="5" width="28.7109375" style="183" customWidth="1"/>
    <col min="6" max="6" width="12.57421875" style="183" customWidth="1"/>
    <col min="7" max="7" width="10.140625" style="183" customWidth="1"/>
    <col min="8" max="8" width="16.140625" style="183" customWidth="1"/>
    <col min="9" max="9" width="8.421875" style="183" customWidth="1"/>
    <col min="10" max="10" width="24.00390625" style="183" customWidth="1"/>
    <col min="11" max="16384" width="7.8515625" style="183" customWidth="1"/>
  </cols>
  <sheetData>
    <row r="1" s="87" customFormat="1" ht="12.75"/>
    <row r="2" s="87" customFormat="1" ht="25.5" customHeight="1">
      <c r="A2" s="180" t="s">
        <v>1051</v>
      </c>
    </row>
    <row r="3" s="87" customFormat="1" ht="15.75" customHeight="1">
      <c r="A3" s="181" t="s">
        <v>1052</v>
      </c>
    </row>
    <row r="4" s="87" customFormat="1" ht="15.75" customHeight="1">
      <c r="A4" s="181" t="s">
        <v>1053</v>
      </c>
    </row>
    <row r="5" s="87" customFormat="1" ht="15.75" customHeight="1">
      <c r="A5" s="181" t="s">
        <v>1054</v>
      </c>
    </row>
    <row r="6" spans="1:10" s="87" customFormat="1" ht="15.75">
      <c r="A6" s="42" t="s">
        <v>343</v>
      </c>
      <c r="B6" s="407"/>
      <c r="C6" s="407"/>
      <c r="D6" s="183"/>
      <c r="E6" s="183"/>
      <c r="F6" s="183"/>
      <c r="G6" s="183"/>
      <c r="H6" s="183"/>
      <c r="I6" s="183"/>
      <c r="J6" s="183"/>
    </row>
    <row r="7" s="87" customFormat="1" ht="12.75"/>
    <row r="8" spans="1:10" ht="12.75">
      <c r="A8" s="185" t="s">
        <v>1051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2.75">
      <c r="A9" s="83" t="s">
        <v>68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2.75">
      <c r="A10" s="46" t="s">
        <v>97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807" t="s">
        <v>131</v>
      </c>
      <c r="B11" s="807"/>
      <c r="C11" s="807"/>
      <c r="D11" s="807"/>
      <c r="E11" s="807"/>
      <c r="F11" s="807"/>
      <c r="G11" s="807"/>
      <c r="H11" s="807"/>
      <c r="I11" s="807"/>
      <c r="J11" s="807"/>
    </row>
    <row r="12" spans="1:10" ht="12.75">
      <c r="A12" s="183" t="s">
        <v>1055</v>
      </c>
      <c r="B12" s="408"/>
      <c r="C12" s="87"/>
      <c r="D12" s="87"/>
      <c r="E12" s="87"/>
      <c r="F12" s="87"/>
      <c r="G12" s="87"/>
      <c r="H12" s="87"/>
      <c r="I12" s="87"/>
      <c r="J12" s="87"/>
    </row>
    <row r="13" spans="1:10" ht="12.75" hidden="1">
      <c r="A13" s="807"/>
      <c r="B13" s="807"/>
      <c r="C13" s="807"/>
      <c r="D13" s="807"/>
      <c r="E13" s="807"/>
      <c r="F13" s="807"/>
      <c r="G13" s="807"/>
      <c r="H13" s="807"/>
      <c r="I13" s="807"/>
      <c r="J13" s="807"/>
    </row>
    <row r="14" spans="1:10" ht="12.75" hidden="1">
      <c r="A14" s="807"/>
      <c r="B14" s="807"/>
      <c r="C14" s="807"/>
      <c r="D14" s="807"/>
      <c r="E14" s="807"/>
      <c r="F14" s="807"/>
      <c r="G14" s="807"/>
      <c r="H14" s="807"/>
      <c r="I14" s="807"/>
      <c r="J14" s="80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 t="s">
        <v>342</v>
      </c>
      <c r="B16" s="87"/>
      <c r="C16" s="87"/>
      <c r="D16" s="409"/>
      <c r="E16" s="410" t="s">
        <v>360</v>
      </c>
      <c r="F16" s="87"/>
      <c r="G16" s="87"/>
      <c r="H16" s="87"/>
      <c r="I16" s="87"/>
      <c r="J16" s="87"/>
    </row>
    <row r="17" spans="1:10" ht="12.75">
      <c r="A17" s="812" t="s">
        <v>819</v>
      </c>
      <c r="B17" s="813"/>
      <c r="C17" s="813"/>
      <c r="D17" s="813"/>
      <c r="E17" s="814"/>
      <c r="F17" s="87"/>
      <c r="G17" s="87"/>
      <c r="H17" s="87"/>
      <c r="I17" s="87"/>
      <c r="J17" s="87"/>
    </row>
    <row r="18" spans="1:13" ht="15" customHeight="1">
      <c r="A18" s="411" t="s">
        <v>195</v>
      </c>
      <c r="B18" s="412" t="s">
        <v>251</v>
      </c>
      <c r="C18" s="412" t="s">
        <v>106</v>
      </c>
      <c r="D18" s="412" t="s">
        <v>253</v>
      </c>
      <c r="E18" s="32" t="s">
        <v>95</v>
      </c>
      <c r="F18" s="413"/>
      <c r="G18" s="413"/>
      <c r="H18" s="413"/>
      <c r="I18" s="413"/>
      <c r="J18" s="413"/>
      <c r="K18" s="413"/>
      <c r="L18" s="413"/>
      <c r="M18" s="413"/>
    </row>
    <row r="19" spans="1:13" ht="15" customHeight="1">
      <c r="A19" s="414"/>
      <c r="B19" s="59" t="s">
        <v>252</v>
      </c>
      <c r="C19" s="59" t="s">
        <v>252</v>
      </c>
      <c r="D19" s="59" t="s">
        <v>254</v>
      </c>
      <c r="E19" s="33" t="s">
        <v>96</v>
      </c>
      <c r="F19" s="413"/>
      <c r="G19" s="413"/>
      <c r="H19" s="413"/>
      <c r="I19" s="413"/>
      <c r="J19" s="413"/>
      <c r="K19" s="413"/>
      <c r="L19" s="413"/>
      <c r="M19" s="413"/>
    </row>
    <row r="20" spans="1:13" ht="19.5" customHeight="1">
      <c r="A20" s="414"/>
      <c r="B20" s="59" t="s">
        <v>79</v>
      </c>
      <c r="C20" s="59" t="s">
        <v>80</v>
      </c>
      <c r="D20" s="59" t="s">
        <v>255</v>
      </c>
      <c r="E20" s="415" t="s">
        <v>256</v>
      </c>
      <c r="F20" s="413"/>
      <c r="G20" s="413"/>
      <c r="H20" s="413"/>
      <c r="I20" s="413"/>
      <c r="J20" s="413"/>
      <c r="K20" s="413"/>
      <c r="L20" s="413"/>
      <c r="M20" s="413"/>
    </row>
    <row r="21" spans="1:13" ht="11.25" customHeight="1">
      <c r="A21" s="416"/>
      <c r="B21" s="417"/>
      <c r="C21" s="418"/>
      <c r="D21" s="419"/>
      <c r="E21" s="417"/>
      <c r="F21" s="413"/>
      <c r="G21" s="413"/>
      <c r="H21" s="413"/>
      <c r="I21" s="413"/>
      <c r="J21" s="413"/>
      <c r="K21" s="413"/>
      <c r="L21" s="413"/>
      <c r="M21" s="413"/>
    </row>
    <row r="22" spans="1:13" ht="11.25" customHeight="1">
      <c r="A22" s="420"/>
      <c r="B22" s="421"/>
      <c r="C22" s="422"/>
      <c r="D22" s="423"/>
      <c r="E22" s="421"/>
      <c r="F22" s="413"/>
      <c r="G22" s="413"/>
      <c r="H22" s="413"/>
      <c r="I22" s="413"/>
      <c r="J22" s="413"/>
      <c r="K22" s="413"/>
      <c r="L22" s="413"/>
      <c r="M22" s="413"/>
    </row>
    <row r="23" spans="1:13" ht="11.25" customHeight="1">
      <c r="A23" s="420"/>
      <c r="B23" s="421"/>
      <c r="C23" s="422"/>
      <c r="D23" s="423"/>
      <c r="E23" s="421"/>
      <c r="F23" s="413"/>
      <c r="G23" s="413"/>
      <c r="H23" s="413"/>
      <c r="I23" s="413"/>
      <c r="J23" s="413"/>
      <c r="K23" s="413"/>
      <c r="L23" s="413"/>
      <c r="M23" s="413"/>
    </row>
    <row r="24" spans="1:13" ht="11.25" customHeight="1">
      <c r="A24" s="420"/>
      <c r="B24" s="421"/>
      <c r="C24" s="422"/>
      <c r="D24" s="423"/>
      <c r="E24" s="421"/>
      <c r="F24" s="413"/>
      <c r="G24" s="413"/>
      <c r="H24" s="413"/>
      <c r="I24" s="413"/>
      <c r="J24" s="413"/>
      <c r="K24" s="413"/>
      <c r="L24" s="413"/>
      <c r="M24" s="413"/>
    </row>
    <row r="25" spans="1:13" ht="11.25" customHeight="1">
      <c r="A25" s="420"/>
      <c r="B25" s="421"/>
      <c r="C25" s="422"/>
      <c r="D25" s="423"/>
      <c r="E25" s="421"/>
      <c r="F25" s="413"/>
      <c r="G25" s="413"/>
      <c r="H25" s="413"/>
      <c r="I25" s="413"/>
      <c r="J25" s="413"/>
      <c r="K25" s="413"/>
      <c r="L25" s="413"/>
      <c r="M25" s="413"/>
    </row>
    <row r="26" spans="1:13" ht="11.25" customHeight="1">
      <c r="A26" s="420"/>
      <c r="B26" s="421"/>
      <c r="C26" s="422"/>
      <c r="D26" s="423"/>
      <c r="E26" s="421"/>
      <c r="F26" s="413"/>
      <c r="G26" s="413"/>
      <c r="H26" s="413"/>
      <c r="I26" s="413"/>
      <c r="J26" s="413"/>
      <c r="K26" s="413"/>
      <c r="L26" s="413"/>
      <c r="M26" s="413"/>
    </row>
    <row r="27" spans="1:13" ht="11.25" customHeight="1">
      <c r="A27" s="420"/>
      <c r="B27" s="421"/>
      <c r="C27" s="422"/>
      <c r="D27" s="423"/>
      <c r="E27" s="421"/>
      <c r="F27" s="413"/>
      <c r="G27" s="413"/>
      <c r="H27" s="413"/>
      <c r="I27" s="413"/>
      <c r="J27" s="413"/>
      <c r="K27" s="413"/>
      <c r="L27" s="413"/>
      <c r="M27" s="413"/>
    </row>
    <row r="28" spans="1:13" ht="11.25" customHeight="1">
      <c r="A28" s="420"/>
      <c r="B28" s="421"/>
      <c r="C28" s="422"/>
      <c r="D28" s="423"/>
      <c r="E28" s="421"/>
      <c r="F28" s="413"/>
      <c r="G28" s="413"/>
      <c r="H28" s="413"/>
      <c r="I28" s="413"/>
      <c r="J28" s="413"/>
      <c r="K28" s="413"/>
      <c r="L28" s="413"/>
      <c r="M28" s="413"/>
    </row>
    <row r="29" spans="1:13" ht="11.25" customHeight="1">
      <c r="A29" s="420"/>
      <c r="B29" s="421"/>
      <c r="C29" s="422"/>
      <c r="D29" s="423"/>
      <c r="E29" s="421"/>
      <c r="F29" s="413"/>
      <c r="G29" s="413"/>
      <c r="H29" s="413"/>
      <c r="I29" s="413"/>
      <c r="J29" s="413"/>
      <c r="K29" s="413"/>
      <c r="L29" s="413"/>
      <c r="M29" s="413"/>
    </row>
    <row r="30" spans="1:13" ht="11.25" customHeight="1">
      <c r="A30" s="420"/>
      <c r="B30" s="421"/>
      <c r="C30" s="422"/>
      <c r="D30" s="423"/>
      <c r="E30" s="421"/>
      <c r="F30" s="413"/>
      <c r="G30" s="413"/>
      <c r="H30" s="413"/>
      <c r="I30" s="413"/>
      <c r="J30" s="413"/>
      <c r="K30" s="413"/>
      <c r="L30" s="413"/>
      <c r="M30" s="413"/>
    </row>
    <row r="31" spans="1:13" ht="11.25" customHeight="1">
      <c r="A31" s="420"/>
      <c r="B31" s="421"/>
      <c r="C31" s="422"/>
      <c r="D31" s="423"/>
      <c r="E31" s="421"/>
      <c r="F31" s="413"/>
      <c r="G31" s="413"/>
      <c r="H31" s="413"/>
      <c r="I31" s="413"/>
      <c r="J31" s="413"/>
      <c r="K31" s="413"/>
      <c r="L31" s="413"/>
      <c r="M31" s="413"/>
    </row>
    <row r="32" spans="1:13" ht="11.25" customHeight="1">
      <c r="A32" s="420"/>
      <c r="B32" s="421"/>
      <c r="C32" s="422"/>
      <c r="D32" s="423"/>
      <c r="E32" s="421"/>
      <c r="F32" s="413"/>
      <c r="G32" s="413"/>
      <c r="H32" s="413"/>
      <c r="I32" s="413"/>
      <c r="J32" s="413"/>
      <c r="K32" s="413"/>
      <c r="L32" s="413"/>
      <c r="M32" s="413"/>
    </row>
    <row r="33" spans="1:13" ht="11.25" customHeight="1">
      <c r="A33" s="420"/>
      <c r="B33" s="421"/>
      <c r="C33" s="422"/>
      <c r="D33" s="423"/>
      <c r="E33" s="421"/>
      <c r="F33" s="413"/>
      <c r="G33" s="413"/>
      <c r="H33" s="413"/>
      <c r="I33" s="413"/>
      <c r="J33" s="413"/>
      <c r="K33" s="413"/>
      <c r="L33" s="413"/>
      <c r="M33" s="413"/>
    </row>
    <row r="34" spans="1:13" ht="11.25" customHeight="1">
      <c r="A34" s="420"/>
      <c r="B34" s="421"/>
      <c r="C34" s="422"/>
      <c r="D34" s="423"/>
      <c r="E34" s="421"/>
      <c r="F34" s="413"/>
      <c r="G34" s="413"/>
      <c r="H34" s="413"/>
      <c r="I34" s="413"/>
      <c r="J34" s="413"/>
      <c r="K34" s="413"/>
      <c r="L34" s="413"/>
      <c r="M34" s="413"/>
    </row>
    <row r="35" spans="1:13" ht="11.25" customHeight="1">
      <c r="A35" s="420"/>
      <c r="B35" s="421"/>
      <c r="C35" s="422"/>
      <c r="D35" s="423"/>
      <c r="E35" s="421"/>
      <c r="F35" s="413"/>
      <c r="G35" s="413"/>
      <c r="H35" s="413"/>
      <c r="I35" s="413"/>
      <c r="J35" s="413"/>
      <c r="K35" s="413"/>
      <c r="L35" s="413"/>
      <c r="M35" s="413"/>
    </row>
    <row r="36" spans="1:13" ht="11.25" customHeight="1">
      <c r="A36" s="420"/>
      <c r="B36" s="421"/>
      <c r="C36" s="422"/>
      <c r="D36" s="423"/>
      <c r="E36" s="421"/>
      <c r="F36" s="413"/>
      <c r="G36" s="413"/>
      <c r="H36" s="413"/>
      <c r="I36" s="413"/>
      <c r="J36" s="413"/>
      <c r="K36" s="413"/>
      <c r="L36" s="413"/>
      <c r="M36" s="413"/>
    </row>
    <row r="37" spans="1:13" ht="11.25" customHeight="1">
      <c r="A37" s="420"/>
      <c r="B37" s="421"/>
      <c r="C37" s="422"/>
      <c r="D37" s="423"/>
      <c r="E37" s="421"/>
      <c r="F37" s="413"/>
      <c r="G37" s="413"/>
      <c r="H37" s="413"/>
      <c r="I37" s="413"/>
      <c r="J37" s="413"/>
      <c r="K37" s="413"/>
      <c r="L37" s="413"/>
      <c r="M37" s="413"/>
    </row>
    <row r="38" spans="1:13" ht="11.25" customHeight="1">
      <c r="A38" s="420"/>
      <c r="B38" s="421"/>
      <c r="C38" s="422"/>
      <c r="D38" s="423"/>
      <c r="E38" s="421"/>
      <c r="F38" s="413"/>
      <c r="G38" s="413"/>
      <c r="H38" s="413"/>
      <c r="I38" s="413"/>
      <c r="J38" s="413"/>
      <c r="K38" s="413"/>
      <c r="L38" s="413"/>
      <c r="M38" s="413"/>
    </row>
    <row r="39" spans="1:13" ht="11.25" customHeight="1">
      <c r="A39" s="420"/>
      <c r="B39" s="421"/>
      <c r="C39" s="422"/>
      <c r="D39" s="423"/>
      <c r="E39" s="421"/>
      <c r="F39" s="413"/>
      <c r="G39" s="413"/>
      <c r="H39" s="413"/>
      <c r="I39" s="413"/>
      <c r="J39" s="413"/>
      <c r="K39" s="413"/>
      <c r="L39" s="413"/>
      <c r="M39" s="413"/>
    </row>
    <row r="40" spans="1:13" ht="11.25" customHeight="1">
      <c r="A40" s="420"/>
      <c r="B40" s="421"/>
      <c r="C40" s="422"/>
      <c r="D40" s="423"/>
      <c r="E40" s="421"/>
      <c r="F40" s="413"/>
      <c r="G40" s="413"/>
      <c r="H40" s="413"/>
      <c r="I40" s="413"/>
      <c r="J40" s="413"/>
      <c r="K40" s="413"/>
      <c r="L40" s="413"/>
      <c r="M40" s="413"/>
    </row>
    <row r="41" spans="1:13" ht="11.25" customHeight="1">
      <c r="A41" s="420"/>
      <c r="B41" s="421"/>
      <c r="C41" s="422"/>
      <c r="D41" s="423"/>
      <c r="E41" s="421"/>
      <c r="F41" s="413"/>
      <c r="G41" s="413"/>
      <c r="H41" s="413"/>
      <c r="I41" s="413"/>
      <c r="J41" s="413"/>
      <c r="K41" s="413"/>
      <c r="L41" s="413"/>
      <c r="M41" s="413"/>
    </row>
    <row r="42" spans="1:13" ht="11.25" customHeight="1">
      <c r="A42" s="420"/>
      <c r="B42" s="421"/>
      <c r="C42" s="422"/>
      <c r="D42" s="423"/>
      <c r="E42" s="421"/>
      <c r="F42" s="413"/>
      <c r="G42" s="413"/>
      <c r="H42" s="413"/>
      <c r="I42" s="413"/>
      <c r="J42" s="413"/>
      <c r="K42" s="413"/>
      <c r="L42" s="413"/>
      <c r="M42" s="413"/>
    </row>
    <row r="43" spans="1:13" ht="11.25" customHeight="1">
      <c r="A43" s="420"/>
      <c r="B43" s="421"/>
      <c r="C43" s="422"/>
      <c r="D43" s="423"/>
      <c r="E43" s="421"/>
      <c r="F43" s="413"/>
      <c r="G43" s="413"/>
      <c r="H43" s="413"/>
      <c r="I43" s="413"/>
      <c r="J43" s="413"/>
      <c r="K43" s="413"/>
      <c r="L43" s="413"/>
      <c r="M43" s="413"/>
    </row>
    <row r="44" spans="1:13" ht="11.25" customHeight="1">
      <c r="A44" s="420"/>
      <c r="B44" s="421"/>
      <c r="C44" s="422"/>
      <c r="D44" s="423"/>
      <c r="E44" s="421"/>
      <c r="F44" s="413"/>
      <c r="G44" s="413"/>
      <c r="H44" s="413"/>
      <c r="I44" s="413"/>
      <c r="J44" s="413"/>
      <c r="K44" s="413"/>
      <c r="L44" s="413"/>
      <c r="M44" s="413"/>
    </row>
    <row r="45" spans="1:13" ht="11.25" customHeight="1">
      <c r="A45" s="420"/>
      <c r="B45" s="421"/>
      <c r="C45" s="422"/>
      <c r="D45" s="423"/>
      <c r="E45" s="421"/>
      <c r="F45" s="413"/>
      <c r="G45" s="413"/>
      <c r="H45" s="413"/>
      <c r="I45" s="413"/>
      <c r="J45" s="413"/>
      <c r="K45" s="413"/>
      <c r="L45" s="413"/>
      <c r="M45" s="413"/>
    </row>
    <row r="46" spans="1:13" ht="11.25" customHeight="1">
      <c r="A46" s="420"/>
      <c r="B46" s="421"/>
      <c r="C46" s="422"/>
      <c r="D46" s="423"/>
      <c r="E46" s="421"/>
      <c r="F46" s="413"/>
      <c r="G46" s="413"/>
      <c r="H46" s="413"/>
      <c r="I46" s="413"/>
      <c r="J46" s="413"/>
      <c r="K46" s="413"/>
      <c r="L46" s="413"/>
      <c r="M46" s="413"/>
    </row>
    <row r="47" spans="1:13" ht="11.25" customHeight="1">
      <c r="A47" s="420"/>
      <c r="B47" s="421"/>
      <c r="C47" s="422"/>
      <c r="D47" s="423"/>
      <c r="E47" s="421"/>
      <c r="F47" s="413"/>
      <c r="G47" s="413"/>
      <c r="H47" s="413"/>
      <c r="I47" s="413"/>
      <c r="J47" s="413"/>
      <c r="K47" s="413"/>
      <c r="L47" s="413"/>
      <c r="M47" s="413"/>
    </row>
    <row r="48" spans="1:13" ht="11.25" customHeight="1">
      <c r="A48" s="420"/>
      <c r="B48" s="421"/>
      <c r="C48" s="422"/>
      <c r="D48" s="423"/>
      <c r="E48" s="421"/>
      <c r="F48" s="413"/>
      <c r="G48" s="413"/>
      <c r="H48" s="413"/>
      <c r="I48" s="413"/>
      <c r="J48" s="413"/>
      <c r="K48" s="413"/>
      <c r="L48" s="413"/>
      <c r="M48" s="413"/>
    </row>
    <row r="49" spans="1:13" ht="11.25" customHeight="1">
      <c r="A49" s="420"/>
      <c r="B49" s="421"/>
      <c r="C49" s="422"/>
      <c r="D49" s="423"/>
      <c r="E49" s="421"/>
      <c r="F49" s="413"/>
      <c r="G49" s="413"/>
      <c r="H49" s="413"/>
      <c r="I49" s="413"/>
      <c r="J49" s="413"/>
      <c r="K49" s="413"/>
      <c r="L49" s="413"/>
      <c r="M49" s="413"/>
    </row>
    <row r="50" spans="1:13" ht="11.25" customHeight="1">
      <c r="A50" s="420"/>
      <c r="B50" s="421"/>
      <c r="C50" s="422"/>
      <c r="D50" s="423"/>
      <c r="E50" s="421"/>
      <c r="F50" s="413"/>
      <c r="G50" s="413"/>
      <c r="H50" s="413"/>
      <c r="I50" s="413"/>
      <c r="J50" s="413"/>
      <c r="K50" s="413"/>
      <c r="L50" s="413"/>
      <c r="M50" s="413"/>
    </row>
    <row r="51" spans="1:13" ht="11.25" customHeight="1">
      <c r="A51" s="420"/>
      <c r="B51" s="421"/>
      <c r="C51" s="422"/>
      <c r="D51" s="423"/>
      <c r="E51" s="421"/>
      <c r="F51" s="413"/>
      <c r="G51" s="413"/>
      <c r="H51" s="413"/>
      <c r="I51" s="413"/>
      <c r="J51" s="413"/>
      <c r="K51" s="413"/>
      <c r="L51" s="413"/>
      <c r="M51" s="413"/>
    </row>
    <row r="52" spans="1:13" ht="11.25" customHeight="1">
      <c r="A52" s="420"/>
      <c r="B52" s="421"/>
      <c r="C52" s="422"/>
      <c r="D52" s="423"/>
      <c r="E52" s="421"/>
      <c r="F52" s="413"/>
      <c r="G52" s="413"/>
      <c r="H52" s="413"/>
      <c r="I52" s="413"/>
      <c r="J52" s="413"/>
      <c r="K52" s="413"/>
      <c r="L52" s="413"/>
      <c r="M52" s="413"/>
    </row>
    <row r="53" spans="1:13" ht="11.25" customHeight="1">
      <c r="A53" s="420"/>
      <c r="B53" s="421"/>
      <c r="C53" s="422"/>
      <c r="D53" s="423"/>
      <c r="E53" s="421"/>
      <c r="F53" s="413"/>
      <c r="G53" s="413"/>
      <c r="H53" s="413"/>
      <c r="I53" s="413"/>
      <c r="J53" s="413"/>
      <c r="K53" s="413"/>
      <c r="L53" s="413"/>
      <c r="M53" s="413"/>
    </row>
    <row r="54" spans="1:13" ht="11.25" customHeight="1">
      <c r="A54" s="420"/>
      <c r="B54" s="421"/>
      <c r="C54" s="422"/>
      <c r="D54" s="423"/>
      <c r="E54" s="421"/>
      <c r="F54" s="413"/>
      <c r="G54" s="413"/>
      <c r="H54" s="413"/>
      <c r="I54" s="413"/>
      <c r="J54" s="413"/>
      <c r="K54" s="413"/>
      <c r="L54" s="413"/>
      <c r="M54" s="413"/>
    </row>
    <row r="55" spans="1:13" ht="11.25" customHeight="1">
      <c r="A55" s="420"/>
      <c r="B55" s="421"/>
      <c r="C55" s="422"/>
      <c r="D55" s="423"/>
      <c r="E55" s="421"/>
      <c r="F55" s="413"/>
      <c r="G55" s="413"/>
      <c r="H55" s="413"/>
      <c r="I55" s="413"/>
      <c r="J55" s="413"/>
      <c r="K55" s="413"/>
      <c r="L55" s="413"/>
      <c r="M55" s="413"/>
    </row>
    <row r="56" spans="1:13" ht="11.25" customHeight="1">
      <c r="A56" s="420"/>
      <c r="B56" s="421"/>
      <c r="C56" s="422"/>
      <c r="D56" s="423"/>
      <c r="E56" s="421"/>
      <c r="F56" s="413"/>
      <c r="G56" s="413"/>
      <c r="H56" s="413"/>
      <c r="I56" s="413"/>
      <c r="J56" s="413"/>
      <c r="K56" s="413"/>
      <c r="L56" s="413"/>
      <c r="M56" s="413"/>
    </row>
    <row r="57" spans="1:13" ht="11.25" customHeight="1">
      <c r="A57" s="420"/>
      <c r="B57" s="421"/>
      <c r="C57" s="422"/>
      <c r="D57" s="423"/>
      <c r="E57" s="421"/>
      <c r="F57" s="413"/>
      <c r="G57" s="413"/>
      <c r="H57" s="413"/>
      <c r="I57" s="413"/>
      <c r="J57" s="413"/>
      <c r="K57" s="413"/>
      <c r="L57" s="413"/>
      <c r="M57" s="413"/>
    </row>
    <row r="58" spans="1:13" ht="11.25" customHeight="1">
      <c r="A58" s="420"/>
      <c r="B58" s="421"/>
      <c r="C58" s="422"/>
      <c r="D58" s="423"/>
      <c r="E58" s="421"/>
      <c r="F58" s="413"/>
      <c r="G58" s="413"/>
      <c r="H58" s="413"/>
      <c r="I58" s="413"/>
      <c r="J58" s="413"/>
      <c r="K58" s="413"/>
      <c r="L58" s="413"/>
      <c r="M58" s="413"/>
    </row>
    <row r="59" spans="1:13" ht="11.25" customHeight="1">
      <c r="A59" s="420"/>
      <c r="B59" s="421"/>
      <c r="C59" s="422"/>
      <c r="D59" s="423"/>
      <c r="E59" s="421"/>
      <c r="F59" s="413"/>
      <c r="G59" s="413"/>
      <c r="H59" s="413"/>
      <c r="I59" s="413"/>
      <c r="J59" s="413"/>
      <c r="K59" s="413"/>
      <c r="L59" s="413"/>
      <c r="M59" s="413"/>
    </row>
    <row r="60" spans="1:13" ht="11.25" customHeight="1">
      <c r="A60" s="420"/>
      <c r="B60" s="421"/>
      <c r="C60" s="422"/>
      <c r="D60" s="423"/>
      <c r="E60" s="421"/>
      <c r="F60" s="413"/>
      <c r="G60" s="413"/>
      <c r="H60" s="413"/>
      <c r="I60" s="413"/>
      <c r="J60" s="413"/>
      <c r="K60" s="413"/>
      <c r="L60" s="413"/>
      <c r="M60" s="413"/>
    </row>
    <row r="61" spans="1:13" ht="11.25" customHeight="1">
      <c r="A61" s="420"/>
      <c r="B61" s="421"/>
      <c r="C61" s="422"/>
      <c r="D61" s="423"/>
      <c r="E61" s="421"/>
      <c r="F61" s="413"/>
      <c r="G61" s="413"/>
      <c r="H61" s="413"/>
      <c r="I61" s="413"/>
      <c r="J61" s="413"/>
      <c r="K61" s="413"/>
      <c r="L61" s="413"/>
      <c r="M61" s="413"/>
    </row>
    <row r="62" spans="1:13" ht="11.25" customHeight="1">
      <c r="A62" s="420"/>
      <c r="B62" s="421"/>
      <c r="C62" s="422"/>
      <c r="D62" s="423"/>
      <c r="E62" s="421"/>
      <c r="F62" s="413"/>
      <c r="G62" s="413"/>
      <c r="H62" s="413"/>
      <c r="I62" s="413"/>
      <c r="J62" s="413"/>
      <c r="K62" s="413"/>
      <c r="L62" s="413"/>
      <c r="M62" s="413"/>
    </row>
    <row r="63" spans="1:13" ht="11.25" customHeight="1">
      <c r="A63" s="420"/>
      <c r="B63" s="421"/>
      <c r="C63" s="422"/>
      <c r="D63" s="423"/>
      <c r="E63" s="421"/>
      <c r="F63" s="413"/>
      <c r="G63" s="413"/>
      <c r="H63" s="413"/>
      <c r="I63" s="413"/>
      <c r="J63" s="413"/>
      <c r="K63" s="413"/>
      <c r="L63" s="413"/>
      <c r="M63" s="413"/>
    </row>
    <row r="64" spans="1:13" ht="11.25" customHeight="1">
      <c r="A64" s="420"/>
      <c r="B64" s="421"/>
      <c r="C64" s="422"/>
      <c r="D64" s="423"/>
      <c r="E64" s="421"/>
      <c r="F64" s="413"/>
      <c r="G64" s="413"/>
      <c r="H64" s="413"/>
      <c r="I64" s="413"/>
      <c r="J64" s="413"/>
      <c r="K64" s="413"/>
      <c r="L64" s="413"/>
      <c r="M64" s="413"/>
    </row>
    <row r="65" spans="1:13" ht="11.25" customHeight="1">
      <c r="A65" s="420"/>
      <c r="B65" s="421"/>
      <c r="C65" s="422"/>
      <c r="D65" s="423"/>
      <c r="E65" s="421"/>
      <c r="F65" s="413"/>
      <c r="G65" s="413"/>
      <c r="H65" s="413"/>
      <c r="I65" s="413"/>
      <c r="J65" s="413"/>
      <c r="K65" s="413"/>
      <c r="L65" s="413"/>
      <c r="M65" s="413"/>
    </row>
    <row r="66" spans="1:13" ht="11.25" customHeight="1">
      <c r="A66" s="420"/>
      <c r="B66" s="421"/>
      <c r="C66" s="422"/>
      <c r="D66" s="423"/>
      <c r="E66" s="421"/>
      <c r="F66" s="413"/>
      <c r="G66" s="413"/>
      <c r="H66" s="413"/>
      <c r="I66" s="413"/>
      <c r="J66" s="413"/>
      <c r="K66" s="413"/>
      <c r="L66" s="413"/>
      <c r="M66" s="413"/>
    </row>
    <row r="67" spans="1:13" ht="11.25" customHeight="1">
      <c r="A67" s="420"/>
      <c r="B67" s="421"/>
      <c r="C67" s="422"/>
      <c r="D67" s="423"/>
      <c r="E67" s="421"/>
      <c r="F67" s="413"/>
      <c r="G67" s="413"/>
      <c r="H67" s="413"/>
      <c r="I67" s="413"/>
      <c r="J67" s="413"/>
      <c r="K67" s="413"/>
      <c r="L67" s="413"/>
      <c r="M67" s="413"/>
    </row>
    <row r="68" spans="1:13" ht="11.25" customHeight="1">
      <c r="A68" s="420"/>
      <c r="B68" s="421"/>
      <c r="C68" s="422"/>
      <c r="D68" s="423"/>
      <c r="E68" s="421"/>
      <c r="F68" s="413"/>
      <c r="G68" s="413"/>
      <c r="H68" s="413"/>
      <c r="I68" s="413"/>
      <c r="J68" s="413"/>
      <c r="K68" s="413"/>
      <c r="L68" s="413"/>
      <c r="M68" s="413"/>
    </row>
    <row r="69" spans="1:13" ht="11.25" customHeight="1">
      <c r="A69" s="420"/>
      <c r="B69" s="421"/>
      <c r="C69" s="422"/>
      <c r="D69" s="423"/>
      <c r="E69" s="421"/>
      <c r="F69" s="413"/>
      <c r="G69" s="413"/>
      <c r="H69" s="413"/>
      <c r="I69" s="413"/>
      <c r="J69" s="413"/>
      <c r="K69" s="413"/>
      <c r="L69" s="413"/>
      <c r="M69" s="413"/>
    </row>
    <row r="70" spans="1:13" ht="11.25" customHeight="1">
      <c r="A70" s="420"/>
      <c r="B70" s="421"/>
      <c r="C70" s="422"/>
      <c r="D70" s="423"/>
      <c r="E70" s="421"/>
      <c r="F70" s="413"/>
      <c r="G70" s="413"/>
      <c r="H70" s="413"/>
      <c r="I70" s="413"/>
      <c r="J70" s="413"/>
      <c r="K70" s="413"/>
      <c r="L70" s="413"/>
      <c r="M70" s="413"/>
    </row>
    <row r="71" spans="1:13" ht="11.25" customHeight="1">
      <c r="A71" s="420"/>
      <c r="B71" s="421"/>
      <c r="C71" s="422"/>
      <c r="D71" s="423"/>
      <c r="E71" s="421"/>
      <c r="F71" s="413"/>
      <c r="G71" s="413"/>
      <c r="H71" s="413"/>
      <c r="I71" s="413"/>
      <c r="J71" s="413"/>
      <c r="K71" s="413"/>
      <c r="L71" s="413"/>
      <c r="M71" s="413"/>
    </row>
    <row r="72" spans="1:13" ht="11.25" customHeight="1">
      <c r="A72" s="420"/>
      <c r="B72" s="421"/>
      <c r="C72" s="422"/>
      <c r="D72" s="423"/>
      <c r="E72" s="421"/>
      <c r="F72" s="413"/>
      <c r="G72" s="413"/>
      <c r="H72" s="413"/>
      <c r="I72" s="413"/>
      <c r="J72" s="413"/>
      <c r="K72" s="413"/>
      <c r="L72" s="413"/>
      <c r="M72" s="413"/>
    </row>
    <row r="73" spans="1:13" ht="11.25" customHeight="1">
      <c r="A73" s="420"/>
      <c r="B73" s="421"/>
      <c r="C73" s="422"/>
      <c r="D73" s="423"/>
      <c r="E73" s="421"/>
      <c r="F73" s="413"/>
      <c r="G73" s="413"/>
      <c r="H73" s="413"/>
      <c r="I73" s="413"/>
      <c r="J73" s="413"/>
      <c r="K73" s="413"/>
      <c r="L73" s="413"/>
      <c r="M73" s="413"/>
    </row>
    <row r="74" spans="1:13" ht="11.25" customHeight="1">
      <c r="A74" s="420"/>
      <c r="B74" s="421"/>
      <c r="C74" s="422"/>
      <c r="D74" s="423"/>
      <c r="E74" s="421"/>
      <c r="F74" s="413"/>
      <c r="G74" s="413"/>
      <c r="H74" s="413"/>
      <c r="I74" s="413"/>
      <c r="J74" s="413"/>
      <c r="K74" s="413"/>
      <c r="L74" s="413"/>
      <c r="M74" s="413"/>
    </row>
    <row r="75" spans="1:13" ht="11.25" customHeight="1">
      <c r="A75" s="420"/>
      <c r="B75" s="421"/>
      <c r="C75" s="422"/>
      <c r="D75" s="423"/>
      <c r="E75" s="421"/>
      <c r="F75" s="413"/>
      <c r="G75" s="413"/>
      <c r="H75" s="413"/>
      <c r="I75" s="413"/>
      <c r="J75" s="413"/>
      <c r="K75" s="413"/>
      <c r="L75" s="413"/>
      <c r="M75" s="413"/>
    </row>
    <row r="76" spans="1:13" ht="11.25" customHeight="1">
      <c r="A76" s="420"/>
      <c r="B76" s="421"/>
      <c r="C76" s="422"/>
      <c r="D76" s="423"/>
      <c r="E76" s="421"/>
      <c r="F76" s="413"/>
      <c r="G76" s="413"/>
      <c r="H76" s="413"/>
      <c r="I76" s="413"/>
      <c r="J76" s="413"/>
      <c r="K76" s="413"/>
      <c r="L76" s="413"/>
      <c r="M76" s="413"/>
    </row>
    <row r="77" spans="1:13" ht="11.25" customHeight="1">
      <c r="A77" s="420"/>
      <c r="B77" s="421"/>
      <c r="C77" s="422"/>
      <c r="D77" s="423"/>
      <c r="E77" s="421"/>
      <c r="F77" s="413"/>
      <c r="G77" s="413"/>
      <c r="H77" s="413"/>
      <c r="I77" s="413"/>
      <c r="J77" s="413"/>
      <c r="K77" s="413"/>
      <c r="L77" s="413"/>
      <c r="M77" s="413"/>
    </row>
    <row r="78" spans="1:13" ht="11.25" customHeight="1">
      <c r="A78" s="420"/>
      <c r="B78" s="421"/>
      <c r="C78" s="422"/>
      <c r="D78" s="423"/>
      <c r="E78" s="421"/>
      <c r="F78" s="413"/>
      <c r="G78" s="413"/>
      <c r="H78" s="413"/>
      <c r="I78" s="413"/>
      <c r="J78" s="413"/>
      <c r="K78" s="413"/>
      <c r="L78" s="413"/>
      <c r="M78" s="413"/>
    </row>
    <row r="79" spans="1:13" ht="11.25" customHeight="1">
      <c r="A79" s="420"/>
      <c r="B79" s="421"/>
      <c r="C79" s="422"/>
      <c r="D79" s="423"/>
      <c r="E79" s="421"/>
      <c r="F79" s="413"/>
      <c r="G79" s="413"/>
      <c r="H79" s="413"/>
      <c r="I79" s="413"/>
      <c r="J79" s="413"/>
      <c r="K79" s="413"/>
      <c r="L79" s="413"/>
      <c r="M79" s="413"/>
    </row>
    <row r="80" spans="1:13" ht="11.25" customHeight="1">
      <c r="A80" s="420"/>
      <c r="B80" s="421"/>
      <c r="C80" s="422"/>
      <c r="D80" s="423"/>
      <c r="E80" s="421"/>
      <c r="F80" s="413"/>
      <c r="G80" s="413"/>
      <c r="H80" s="413"/>
      <c r="I80" s="413"/>
      <c r="J80" s="413"/>
      <c r="K80" s="413"/>
      <c r="L80" s="413"/>
      <c r="M80" s="413"/>
    </row>
    <row r="81" spans="1:13" ht="11.25" customHeight="1">
      <c r="A81" s="420"/>
      <c r="B81" s="421"/>
      <c r="C81" s="422"/>
      <c r="D81" s="423"/>
      <c r="E81" s="421"/>
      <c r="F81" s="413"/>
      <c r="G81" s="413"/>
      <c r="H81" s="413"/>
      <c r="I81" s="413"/>
      <c r="J81" s="413"/>
      <c r="K81" s="413"/>
      <c r="L81" s="413"/>
      <c r="M81" s="413"/>
    </row>
    <row r="82" spans="1:13" ht="11.25" customHeight="1">
      <c r="A82" s="420"/>
      <c r="B82" s="421"/>
      <c r="C82" s="422"/>
      <c r="D82" s="423"/>
      <c r="E82" s="421"/>
      <c r="F82" s="413"/>
      <c r="G82" s="413"/>
      <c r="H82" s="413"/>
      <c r="I82" s="413"/>
      <c r="J82" s="413"/>
      <c r="K82" s="413"/>
      <c r="L82" s="413"/>
      <c r="M82" s="413"/>
    </row>
    <row r="83" spans="1:13" ht="11.25" customHeight="1">
      <c r="A83" s="420"/>
      <c r="B83" s="421"/>
      <c r="C83" s="422"/>
      <c r="D83" s="423"/>
      <c r="E83" s="421"/>
      <c r="F83" s="413"/>
      <c r="G83" s="413"/>
      <c r="H83" s="413"/>
      <c r="I83" s="413"/>
      <c r="J83" s="413"/>
      <c r="K83" s="413"/>
      <c r="L83" s="413"/>
      <c r="M83" s="413"/>
    </row>
    <row r="84" spans="1:13" ht="11.25" customHeight="1">
      <c r="A84" s="420"/>
      <c r="B84" s="421"/>
      <c r="C84" s="422"/>
      <c r="D84" s="423"/>
      <c r="E84" s="421"/>
      <c r="F84" s="413"/>
      <c r="G84" s="413"/>
      <c r="H84" s="413"/>
      <c r="I84" s="413"/>
      <c r="J84" s="413"/>
      <c r="K84" s="413"/>
      <c r="L84" s="413"/>
      <c r="M84" s="413"/>
    </row>
    <row r="85" spans="1:13" ht="11.25" customHeight="1">
      <c r="A85" s="420"/>
      <c r="B85" s="421"/>
      <c r="C85" s="422"/>
      <c r="D85" s="423"/>
      <c r="E85" s="421"/>
      <c r="F85" s="413"/>
      <c r="G85" s="413"/>
      <c r="H85" s="413"/>
      <c r="I85" s="413"/>
      <c r="J85" s="413"/>
      <c r="K85" s="413"/>
      <c r="L85" s="413"/>
      <c r="M85" s="413"/>
    </row>
    <row r="86" spans="1:13" ht="11.25" customHeight="1">
      <c r="A86" s="420"/>
      <c r="B86" s="421"/>
      <c r="C86" s="422"/>
      <c r="D86" s="423"/>
      <c r="E86" s="421"/>
      <c r="F86" s="413"/>
      <c r="G86" s="413"/>
      <c r="H86" s="413"/>
      <c r="I86" s="413"/>
      <c r="J86" s="413"/>
      <c r="K86" s="413"/>
      <c r="L86" s="413"/>
      <c r="M86" s="413"/>
    </row>
    <row r="87" spans="1:13" ht="11.25" customHeight="1">
      <c r="A87" s="420"/>
      <c r="B87" s="421"/>
      <c r="C87" s="422"/>
      <c r="D87" s="423"/>
      <c r="E87" s="421"/>
      <c r="F87" s="413"/>
      <c r="G87" s="413"/>
      <c r="H87" s="413"/>
      <c r="I87" s="413"/>
      <c r="J87" s="413"/>
      <c r="K87" s="413"/>
      <c r="L87" s="413"/>
      <c r="M87" s="413"/>
    </row>
    <row r="88" spans="1:13" ht="11.25" customHeight="1">
      <c r="A88" s="420"/>
      <c r="B88" s="421"/>
      <c r="C88" s="422"/>
      <c r="D88" s="423"/>
      <c r="E88" s="421"/>
      <c r="F88" s="413"/>
      <c r="G88" s="413"/>
      <c r="H88" s="413"/>
      <c r="I88" s="413"/>
      <c r="J88" s="413"/>
      <c r="K88" s="413"/>
      <c r="L88" s="413"/>
      <c r="M88" s="413"/>
    </row>
    <row r="89" spans="1:13" ht="11.25" customHeight="1">
      <c r="A89" s="420"/>
      <c r="B89" s="421"/>
      <c r="C89" s="422"/>
      <c r="D89" s="423"/>
      <c r="E89" s="421"/>
      <c r="F89" s="413"/>
      <c r="G89" s="413"/>
      <c r="H89" s="413"/>
      <c r="I89" s="413"/>
      <c r="J89" s="413"/>
      <c r="K89" s="413"/>
      <c r="L89" s="413"/>
      <c r="M89" s="413"/>
    </row>
    <row r="90" spans="1:13" ht="11.25" customHeight="1">
      <c r="A90" s="420"/>
      <c r="B90" s="421"/>
      <c r="C90" s="422"/>
      <c r="D90" s="423"/>
      <c r="E90" s="421"/>
      <c r="F90" s="413"/>
      <c r="G90" s="413"/>
      <c r="H90" s="413"/>
      <c r="I90" s="413"/>
      <c r="J90" s="413"/>
      <c r="K90" s="413"/>
      <c r="L90" s="413"/>
      <c r="M90" s="413"/>
    </row>
    <row r="91" spans="1:13" ht="11.25" customHeight="1">
      <c r="A91" s="420"/>
      <c r="B91" s="421"/>
      <c r="C91" s="422"/>
      <c r="D91" s="423"/>
      <c r="E91" s="421"/>
      <c r="F91" s="413"/>
      <c r="G91" s="413"/>
      <c r="H91" s="413"/>
      <c r="I91" s="413"/>
      <c r="J91" s="413"/>
      <c r="K91" s="413"/>
      <c r="L91" s="413"/>
      <c r="M91" s="413"/>
    </row>
    <row r="92" spans="1:13" ht="11.25" customHeight="1">
      <c r="A92" s="420"/>
      <c r="B92" s="421"/>
      <c r="C92" s="422"/>
      <c r="D92" s="423"/>
      <c r="E92" s="421"/>
      <c r="F92" s="413"/>
      <c r="G92" s="413"/>
      <c r="H92" s="413"/>
      <c r="I92" s="413"/>
      <c r="J92" s="413"/>
      <c r="K92" s="413"/>
      <c r="L92" s="413"/>
      <c r="M92" s="413"/>
    </row>
    <row r="93" spans="1:13" ht="11.25" customHeight="1">
      <c r="A93" s="420"/>
      <c r="B93" s="421"/>
      <c r="C93" s="422"/>
      <c r="D93" s="423"/>
      <c r="E93" s="421"/>
      <c r="F93" s="413"/>
      <c r="G93" s="413"/>
      <c r="H93" s="413"/>
      <c r="I93" s="413"/>
      <c r="J93" s="413"/>
      <c r="K93" s="413"/>
      <c r="L93" s="413"/>
      <c r="M93" s="413"/>
    </row>
    <row r="94" spans="1:13" ht="11.25" customHeight="1">
      <c r="A94" s="420"/>
      <c r="B94" s="421"/>
      <c r="C94" s="422"/>
      <c r="D94" s="423"/>
      <c r="E94" s="421"/>
      <c r="F94" s="413"/>
      <c r="G94" s="413"/>
      <c r="H94" s="413"/>
      <c r="I94" s="413"/>
      <c r="J94" s="413"/>
      <c r="K94" s="413"/>
      <c r="L94" s="413"/>
      <c r="M94" s="413"/>
    </row>
    <row r="95" spans="1:13" ht="11.25" customHeight="1">
      <c r="A95" s="424"/>
      <c r="B95" s="425"/>
      <c r="C95" s="426"/>
      <c r="D95" s="427"/>
      <c r="E95" s="427"/>
      <c r="F95" s="413"/>
      <c r="G95" s="413"/>
      <c r="H95" s="413"/>
      <c r="I95" s="413"/>
      <c r="J95" s="413"/>
      <c r="K95" s="413"/>
      <c r="L95" s="413"/>
      <c r="M95" s="413"/>
    </row>
    <row r="96" spans="1:13" ht="11.25" customHeight="1">
      <c r="A96" s="954" t="s">
        <v>359</v>
      </c>
      <c r="B96" s="955"/>
      <c r="C96" s="955"/>
      <c r="D96" s="955"/>
      <c r="E96" s="955"/>
      <c r="F96" s="413"/>
      <c r="G96" s="413"/>
      <c r="H96" s="413"/>
      <c r="I96" s="413"/>
      <c r="J96" s="413"/>
      <c r="K96" s="413"/>
      <c r="L96" s="413"/>
      <c r="M96" s="413"/>
    </row>
    <row r="97" spans="1:13" ht="11.25" customHeight="1">
      <c r="A97" s="800" t="s">
        <v>638</v>
      </c>
      <c r="B97" s="800"/>
      <c r="C97" s="800"/>
      <c r="D97" s="800"/>
      <c r="E97" s="800"/>
      <c r="F97" s="413"/>
      <c r="G97" s="413"/>
      <c r="H97" s="413"/>
      <c r="I97" s="413"/>
      <c r="J97" s="413"/>
      <c r="K97" s="413"/>
      <c r="L97" s="413"/>
      <c r="M97" s="413"/>
    </row>
    <row r="98" spans="1:13" ht="11.25" customHeight="1">
      <c r="A98" s="953" t="s">
        <v>94</v>
      </c>
      <c r="B98" s="953"/>
      <c r="C98" s="953"/>
      <c r="D98" s="953"/>
      <c r="E98" s="953"/>
      <c r="F98" s="413"/>
      <c r="G98" s="413"/>
      <c r="H98" s="413"/>
      <c r="I98" s="413"/>
      <c r="J98" s="413"/>
      <c r="K98" s="413"/>
      <c r="L98" s="413"/>
      <c r="M98" s="413"/>
    </row>
    <row r="99" spans="6:13" ht="11.25" customHeight="1">
      <c r="F99" s="413"/>
      <c r="G99" s="413"/>
      <c r="H99" s="413"/>
      <c r="I99" s="413"/>
      <c r="J99" s="413"/>
      <c r="K99" s="413"/>
      <c r="L99" s="413"/>
      <c r="M99" s="413"/>
    </row>
    <row r="100" spans="6:13" ht="11.25" customHeight="1">
      <c r="F100" s="413"/>
      <c r="G100" s="413"/>
      <c r="H100" s="413"/>
      <c r="I100" s="413"/>
      <c r="J100" s="413"/>
      <c r="K100" s="413"/>
      <c r="L100" s="413"/>
      <c r="M100" s="413"/>
    </row>
    <row r="101" spans="6:13" ht="11.25" customHeight="1">
      <c r="F101" s="413"/>
      <c r="G101" s="413"/>
      <c r="H101" s="413"/>
      <c r="I101" s="413"/>
      <c r="J101" s="413"/>
      <c r="K101" s="413"/>
      <c r="L101" s="413"/>
      <c r="M101" s="413"/>
    </row>
    <row r="102" spans="6:13" ht="11.25" customHeight="1">
      <c r="F102" s="413"/>
      <c r="G102" s="413"/>
      <c r="H102" s="413"/>
      <c r="I102" s="413"/>
      <c r="J102" s="413"/>
      <c r="K102" s="413"/>
      <c r="L102" s="413"/>
      <c r="M102" s="413"/>
    </row>
    <row r="103" spans="1:13" ht="11.25" customHeight="1">
      <c r="A103" s="952"/>
      <c r="B103" s="952"/>
      <c r="C103" s="428"/>
      <c r="D103" s="825"/>
      <c r="E103" s="825"/>
      <c r="F103" s="413"/>
      <c r="G103" s="413"/>
      <c r="H103" s="413"/>
      <c r="I103" s="413"/>
      <c r="J103" s="413"/>
      <c r="K103" s="413"/>
      <c r="L103" s="413"/>
      <c r="M103" s="413"/>
    </row>
    <row r="104" spans="1:13" ht="11.25" customHeight="1">
      <c r="A104" s="952"/>
      <c r="B104" s="952"/>
      <c r="C104" s="428"/>
      <c r="D104" s="825"/>
      <c r="E104" s="825"/>
      <c r="F104" s="413"/>
      <c r="G104" s="413"/>
      <c r="H104" s="413"/>
      <c r="I104" s="413"/>
      <c r="J104" s="413"/>
      <c r="K104" s="413"/>
      <c r="L104" s="413"/>
      <c r="M104" s="413"/>
    </row>
    <row r="105" spans="6:13" ht="11.25" customHeight="1">
      <c r="F105" s="413"/>
      <c r="G105" s="413"/>
      <c r="H105" s="413"/>
      <c r="I105" s="413"/>
      <c r="J105" s="413"/>
      <c r="K105" s="413"/>
      <c r="L105" s="413"/>
      <c r="M105" s="413"/>
    </row>
    <row r="106" spans="6:13" ht="11.25" customHeight="1">
      <c r="F106" s="413"/>
      <c r="G106" s="413"/>
      <c r="H106" s="413"/>
      <c r="I106" s="413"/>
      <c r="J106" s="413"/>
      <c r="K106" s="413"/>
      <c r="L106" s="413"/>
      <c r="M106" s="413"/>
    </row>
    <row r="107" spans="1:13" ht="11.25" customHeight="1">
      <c r="A107" s="429"/>
      <c r="B107" s="141"/>
      <c r="C107" s="141"/>
      <c r="D107" s="141"/>
      <c r="E107" s="141"/>
      <c r="F107" s="413"/>
      <c r="G107" s="413"/>
      <c r="H107" s="413"/>
      <c r="I107" s="413"/>
      <c r="J107" s="413"/>
      <c r="K107" s="413"/>
      <c r="L107" s="413"/>
      <c r="M107" s="413"/>
    </row>
    <row r="108" spans="1:13" ht="11.25" customHeight="1">
      <c r="A108" s="812" t="s">
        <v>820</v>
      </c>
      <c r="B108" s="813"/>
      <c r="C108" s="813"/>
      <c r="D108" s="813"/>
      <c r="E108" s="814"/>
      <c r="F108" s="413"/>
      <c r="G108" s="413"/>
      <c r="H108" s="413"/>
      <c r="I108" s="413"/>
      <c r="J108" s="413"/>
      <c r="K108" s="413"/>
      <c r="L108" s="413"/>
      <c r="M108" s="413"/>
    </row>
    <row r="109" spans="1:13" ht="11.25" customHeight="1">
      <c r="A109" s="411" t="s">
        <v>195</v>
      </c>
      <c r="B109" s="412" t="s">
        <v>251</v>
      </c>
      <c r="C109" s="412" t="s">
        <v>106</v>
      </c>
      <c r="D109" s="412" t="s">
        <v>253</v>
      </c>
      <c r="E109" s="32" t="s">
        <v>95</v>
      </c>
      <c r="F109" s="413"/>
      <c r="G109" s="413"/>
      <c r="H109" s="413"/>
      <c r="I109" s="413"/>
      <c r="J109" s="413"/>
      <c r="K109" s="413"/>
      <c r="L109" s="413"/>
      <c r="M109" s="413"/>
    </row>
    <row r="110" spans="1:13" ht="11.25" customHeight="1">
      <c r="A110" s="414"/>
      <c r="B110" s="59" t="s">
        <v>252</v>
      </c>
      <c r="C110" s="59" t="s">
        <v>252</v>
      </c>
      <c r="D110" s="59" t="s">
        <v>254</v>
      </c>
      <c r="E110" s="33" t="s">
        <v>96</v>
      </c>
      <c r="F110" s="413"/>
      <c r="G110" s="413"/>
      <c r="H110" s="413"/>
      <c r="I110" s="413"/>
      <c r="J110" s="413"/>
      <c r="K110" s="413"/>
      <c r="L110" s="413"/>
      <c r="M110" s="413"/>
    </row>
    <row r="111" spans="1:13" ht="11.25" customHeight="1">
      <c r="A111" s="414"/>
      <c r="B111" s="59" t="s">
        <v>79</v>
      </c>
      <c r="C111" s="59" t="s">
        <v>80</v>
      </c>
      <c r="D111" s="59" t="s">
        <v>255</v>
      </c>
      <c r="E111" s="415" t="s">
        <v>256</v>
      </c>
      <c r="F111" s="413"/>
      <c r="G111" s="413"/>
      <c r="H111" s="413"/>
      <c r="I111" s="413"/>
      <c r="J111" s="413"/>
      <c r="K111" s="413"/>
      <c r="L111" s="413"/>
      <c r="M111" s="413"/>
    </row>
    <row r="112" spans="1:13" ht="11.25" customHeight="1">
      <c r="A112" s="416"/>
      <c r="B112" s="417"/>
      <c r="C112" s="418"/>
      <c r="D112" s="419"/>
      <c r="E112" s="417"/>
      <c r="F112" s="413"/>
      <c r="G112" s="413"/>
      <c r="H112" s="413"/>
      <c r="I112" s="413"/>
      <c r="J112" s="413"/>
      <c r="K112" s="413"/>
      <c r="L112" s="413"/>
      <c r="M112" s="413"/>
    </row>
    <row r="113" spans="1:13" ht="11.25" customHeight="1">
      <c r="A113" s="420"/>
      <c r="B113" s="421"/>
      <c r="C113" s="422"/>
      <c r="D113" s="423"/>
      <c r="E113" s="421"/>
      <c r="F113" s="413"/>
      <c r="G113" s="413"/>
      <c r="H113" s="413"/>
      <c r="I113" s="413"/>
      <c r="J113" s="413"/>
      <c r="K113" s="413"/>
      <c r="L113" s="413"/>
      <c r="M113" s="413"/>
    </row>
    <row r="114" spans="1:13" ht="11.25" customHeight="1">
      <c r="A114" s="420"/>
      <c r="B114" s="421"/>
      <c r="C114" s="422"/>
      <c r="D114" s="423"/>
      <c r="E114" s="421"/>
      <c r="F114" s="413"/>
      <c r="G114" s="413"/>
      <c r="H114" s="413"/>
      <c r="I114" s="413"/>
      <c r="J114" s="413"/>
      <c r="K114" s="413"/>
      <c r="L114" s="413"/>
      <c r="M114" s="413"/>
    </row>
    <row r="115" spans="1:13" ht="11.25" customHeight="1">
      <c r="A115" s="420"/>
      <c r="B115" s="421"/>
      <c r="C115" s="422"/>
      <c r="D115" s="423"/>
      <c r="E115" s="421"/>
      <c r="F115" s="413"/>
      <c r="G115" s="413"/>
      <c r="H115" s="413"/>
      <c r="I115" s="413"/>
      <c r="J115" s="413"/>
      <c r="K115" s="413"/>
      <c r="L115" s="413"/>
      <c r="M115" s="413"/>
    </row>
    <row r="116" spans="1:13" ht="11.25" customHeight="1">
      <c r="A116" s="420"/>
      <c r="B116" s="421"/>
      <c r="C116" s="422"/>
      <c r="D116" s="423"/>
      <c r="E116" s="421"/>
      <c r="F116" s="413"/>
      <c r="G116" s="413"/>
      <c r="H116" s="413"/>
      <c r="I116" s="413"/>
      <c r="J116" s="413"/>
      <c r="K116" s="413"/>
      <c r="L116" s="413"/>
      <c r="M116" s="413"/>
    </row>
    <row r="117" spans="1:13" ht="11.25" customHeight="1">
      <c r="A117" s="420"/>
      <c r="B117" s="421"/>
      <c r="C117" s="422"/>
      <c r="D117" s="423"/>
      <c r="E117" s="421"/>
      <c r="F117" s="413"/>
      <c r="G117" s="413"/>
      <c r="H117" s="413"/>
      <c r="I117" s="413"/>
      <c r="J117" s="413"/>
      <c r="K117" s="413"/>
      <c r="L117" s="413"/>
      <c r="M117" s="413"/>
    </row>
    <row r="118" spans="1:13" ht="11.25" customHeight="1">
      <c r="A118" s="420"/>
      <c r="B118" s="421"/>
      <c r="C118" s="422"/>
      <c r="D118" s="423"/>
      <c r="E118" s="421"/>
      <c r="F118" s="413"/>
      <c r="G118" s="413"/>
      <c r="H118" s="413"/>
      <c r="I118" s="413"/>
      <c r="J118" s="413"/>
      <c r="K118" s="413"/>
      <c r="L118" s="413"/>
      <c r="M118" s="413"/>
    </row>
    <row r="119" spans="1:13" ht="11.25" customHeight="1">
      <c r="A119" s="420"/>
      <c r="B119" s="421"/>
      <c r="C119" s="422"/>
      <c r="D119" s="423"/>
      <c r="E119" s="421"/>
      <c r="F119" s="413"/>
      <c r="G119" s="413"/>
      <c r="H119" s="413"/>
      <c r="I119" s="413"/>
      <c r="J119" s="413"/>
      <c r="K119" s="413"/>
      <c r="L119" s="413"/>
      <c r="M119" s="413"/>
    </row>
    <row r="120" spans="1:13" ht="11.25" customHeight="1">
      <c r="A120" s="420"/>
      <c r="B120" s="421"/>
      <c r="C120" s="422"/>
      <c r="D120" s="423"/>
      <c r="E120" s="421"/>
      <c r="F120" s="413"/>
      <c r="G120" s="413"/>
      <c r="H120" s="413"/>
      <c r="I120" s="413"/>
      <c r="J120" s="413"/>
      <c r="K120" s="413"/>
      <c r="L120" s="413"/>
      <c r="M120" s="413"/>
    </row>
    <row r="121" spans="1:13" ht="11.25" customHeight="1">
      <c r="A121" s="420"/>
      <c r="B121" s="421"/>
      <c r="C121" s="422"/>
      <c r="D121" s="423"/>
      <c r="E121" s="421"/>
      <c r="F121" s="413"/>
      <c r="G121" s="413"/>
      <c r="H121" s="413"/>
      <c r="I121" s="413"/>
      <c r="J121" s="413"/>
      <c r="K121" s="413"/>
      <c r="L121" s="413"/>
      <c r="M121" s="413"/>
    </row>
    <row r="122" spans="1:13" ht="11.25" customHeight="1">
      <c r="A122" s="420"/>
      <c r="B122" s="421"/>
      <c r="C122" s="422"/>
      <c r="D122" s="423"/>
      <c r="E122" s="421"/>
      <c r="F122" s="413"/>
      <c r="G122" s="413"/>
      <c r="H122" s="413"/>
      <c r="I122" s="413"/>
      <c r="J122" s="413"/>
      <c r="K122" s="413"/>
      <c r="L122" s="413"/>
      <c r="M122" s="413"/>
    </row>
    <row r="123" spans="1:13" ht="11.25" customHeight="1">
      <c r="A123" s="420"/>
      <c r="B123" s="421"/>
      <c r="C123" s="422"/>
      <c r="D123" s="423"/>
      <c r="E123" s="421"/>
      <c r="F123" s="413"/>
      <c r="G123" s="413"/>
      <c r="H123" s="413"/>
      <c r="I123" s="413"/>
      <c r="J123" s="413"/>
      <c r="K123" s="413"/>
      <c r="L123" s="413"/>
      <c r="M123" s="413"/>
    </row>
    <row r="124" spans="1:13" ht="11.25" customHeight="1">
      <c r="A124" s="420"/>
      <c r="B124" s="421"/>
      <c r="C124" s="422"/>
      <c r="D124" s="423"/>
      <c r="E124" s="421"/>
      <c r="F124" s="413"/>
      <c r="G124" s="413"/>
      <c r="H124" s="413"/>
      <c r="I124" s="413"/>
      <c r="J124" s="413"/>
      <c r="K124" s="413"/>
      <c r="L124" s="413"/>
      <c r="M124" s="413"/>
    </row>
    <row r="125" spans="1:13" ht="11.25" customHeight="1">
      <c r="A125" s="420"/>
      <c r="B125" s="421"/>
      <c r="C125" s="422"/>
      <c r="D125" s="423"/>
      <c r="E125" s="421"/>
      <c r="F125" s="413"/>
      <c r="G125" s="413"/>
      <c r="H125" s="413"/>
      <c r="I125" s="413"/>
      <c r="J125" s="413"/>
      <c r="K125" s="413"/>
      <c r="L125" s="413"/>
      <c r="M125" s="413"/>
    </row>
    <row r="126" spans="1:13" ht="11.25" customHeight="1">
      <c r="A126" s="420"/>
      <c r="B126" s="421"/>
      <c r="C126" s="422"/>
      <c r="D126" s="423"/>
      <c r="E126" s="421"/>
      <c r="F126" s="413"/>
      <c r="G126" s="413"/>
      <c r="H126" s="413"/>
      <c r="I126" s="413"/>
      <c r="J126" s="413"/>
      <c r="K126" s="413"/>
      <c r="L126" s="413"/>
      <c r="M126" s="413"/>
    </row>
    <row r="127" spans="1:13" ht="11.25" customHeight="1">
      <c r="A127" s="420"/>
      <c r="B127" s="421"/>
      <c r="C127" s="422"/>
      <c r="D127" s="423"/>
      <c r="E127" s="421"/>
      <c r="F127" s="413"/>
      <c r="G127" s="413"/>
      <c r="H127" s="413"/>
      <c r="I127" s="413"/>
      <c r="J127" s="413"/>
      <c r="K127" s="413"/>
      <c r="L127" s="413"/>
      <c r="M127" s="413"/>
    </row>
    <row r="128" spans="1:13" ht="11.25" customHeight="1">
      <c r="A128" s="420"/>
      <c r="B128" s="421"/>
      <c r="C128" s="422"/>
      <c r="D128" s="423"/>
      <c r="E128" s="421"/>
      <c r="F128" s="413"/>
      <c r="G128" s="413"/>
      <c r="H128" s="413"/>
      <c r="I128" s="413"/>
      <c r="J128" s="413"/>
      <c r="K128" s="413"/>
      <c r="L128" s="413"/>
      <c r="M128" s="413"/>
    </row>
    <row r="129" spans="1:13" ht="11.25" customHeight="1">
      <c r="A129" s="420"/>
      <c r="B129" s="421"/>
      <c r="C129" s="422"/>
      <c r="D129" s="423"/>
      <c r="E129" s="421"/>
      <c r="F129" s="413"/>
      <c r="G129" s="413"/>
      <c r="H129" s="413"/>
      <c r="I129" s="413"/>
      <c r="J129" s="413"/>
      <c r="K129" s="413"/>
      <c r="L129" s="413"/>
      <c r="M129" s="413"/>
    </row>
    <row r="130" spans="1:13" ht="11.25" customHeight="1">
      <c r="A130" s="420"/>
      <c r="B130" s="421"/>
      <c r="C130" s="422"/>
      <c r="D130" s="423"/>
      <c r="E130" s="421"/>
      <c r="F130" s="413"/>
      <c r="G130" s="413"/>
      <c r="H130" s="413"/>
      <c r="I130" s="413"/>
      <c r="J130" s="413"/>
      <c r="K130" s="413"/>
      <c r="L130" s="413"/>
      <c r="M130" s="413"/>
    </row>
    <row r="131" spans="1:13" ht="11.25" customHeight="1">
      <c r="A131" s="420"/>
      <c r="B131" s="421"/>
      <c r="C131" s="422"/>
      <c r="D131" s="423"/>
      <c r="E131" s="421"/>
      <c r="F131" s="413"/>
      <c r="G131" s="413"/>
      <c r="H131" s="413"/>
      <c r="I131" s="413"/>
      <c r="J131" s="413"/>
      <c r="K131" s="413"/>
      <c r="L131" s="413"/>
      <c r="M131" s="413"/>
    </row>
    <row r="132" spans="1:13" ht="11.25" customHeight="1">
      <c r="A132" s="420"/>
      <c r="B132" s="421"/>
      <c r="C132" s="422"/>
      <c r="D132" s="423"/>
      <c r="E132" s="421"/>
      <c r="F132" s="413"/>
      <c r="G132" s="413"/>
      <c r="H132" s="413"/>
      <c r="I132" s="413"/>
      <c r="J132" s="413"/>
      <c r="K132" s="413"/>
      <c r="L132" s="413"/>
      <c r="M132" s="413"/>
    </row>
    <row r="133" spans="1:13" ht="11.25" customHeight="1">
      <c r="A133" s="420"/>
      <c r="B133" s="421"/>
      <c r="C133" s="422"/>
      <c r="D133" s="423"/>
      <c r="E133" s="421"/>
      <c r="F133" s="413"/>
      <c r="G133" s="413"/>
      <c r="H133" s="413"/>
      <c r="I133" s="413"/>
      <c r="J133" s="413"/>
      <c r="K133" s="413"/>
      <c r="L133" s="413"/>
      <c r="M133" s="413"/>
    </row>
    <row r="134" spans="1:13" ht="11.25" customHeight="1">
      <c r="A134" s="420"/>
      <c r="B134" s="421"/>
      <c r="C134" s="422"/>
      <c r="D134" s="423"/>
      <c r="E134" s="421"/>
      <c r="F134" s="413"/>
      <c r="G134" s="413"/>
      <c r="H134" s="413"/>
      <c r="I134" s="413"/>
      <c r="J134" s="413"/>
      <c r="K134" s="413"/>
      <c r="L134" s="413"/>
      <c r="M134" s="413"/>
    </row>
    <row r="135" spans="1:13" ht="11.25" customHeight="1">
      <c r="A135" s="420"/>
      <c r="B135" s="421"/>
      <c r="C135" s="422"/>
      <c r="D135" s="423"/>
      <c r="E135" s="421"/>
      <c r="F135" s="413"/>
      <c r="G135" s="413"/>
      <c r="H135" s="413"/>
      <c r="I135" s="413"/>
      <c r="J135" s="413"/>
      <c r="K135" s="413"/>
      <c r="L135" s="413"/>
      <c r="M135" s="413"/>
    </row>
    <row r="136" spans="1:13" ht="11.25" customHeight="1">
      <c r="A136" s="420"/>
      <c r="B136" s="421"/>
      <c r="C136" s="422"/>
      <c r="D136" s="423"/>
      <c r="E136" s="421"/>
      <c r="F136" s="413"/>
      <c r="G136" s="413"/>
      <c r="H136" s="413"/>
      <c r="I136" s="413"/>
      <c r="J136" s="413"/>
      <c r="K136" s="413"/>
      <c r="L136" s="413"/>
      <c r="M136" s="413"/>
    </row>
    <row r="137" spans="1:13" ht="11.25" customHeight="1">
      <c r="A137" s="420"/>
      <c r="B137" s="421"/>
      <c r="C137" s="422"/>
      <c r="D137" s="423"/>
      <c r="E137" s="421"/>
      <c r="F137" s="413"/>
      <c r="G137" s="413"/>
      <c r="H137" s="413"/>
      <c r="I137" s="413"/>
      <c r="J137" s="413"/>
      <c r="K137" s="413"/>
      <c r="L137" s="413"/>
      <c r="M137" s="413"/>
    </row>
    <row r="138" spans="1:13" ht="11.25" customHeight="1">
      <c r="A138" s="420"/>
      <c r="B138" s="421"/>
      <c r="C138" s="422"/>
      <c r="D138" s="423"/>
      <c r="E138" s="421"/>
      <c r="F138" s="413"/>
      <c r="G138" s="413"/>
      <c r="H138" s="413"/>
      <c r="I138" s="413"/>
      <c r="J138" s="413"/>
      <c r="K138" s="413"/>
      <c r="L138" s="413"/>
      <c r="M138" s="413"/>
    </row>
    <row r="139" spans="1:13" ht="11.25" customHeight="1">
      <c r="A139" s="420"/>
      <c r="B139" s="421"/>
      <c r="C139" s="422"/>
      <c r="D139" s="423"/>
      <c r="E139" s="421"/>
      <c r="F139" s="413"/>
      <c r="G139" s="413"/>
      <c r="H139" s="413"/>
      <c r="I139" s="413"/>
      <c r="J139" s="413"/>
      <c r="K139" s="413"/>
      <c r="L139" s="413"/>
      <c r="M139" s="413"/>
    </row>
    <row r="140" spans="1:13" ht="11.25" customHeight="1">
      <c r="A140" s="420"/>
      <c r="B140" s="421"/>
      <c r="C140" s="422"/>
      <c r="D140" s="423"/>
      <c r="E140" s="421"/>
      <c r="F140" s="413"/>
      <c r="G140" s="413"/>
      <c r="H140" s="413"/>
      <c r="I140" s="413"/>
      <c r="J140" s="413"/>
      <c r="K140" s="413"/>
      <c r="L140" s="413"/>
      <c r="M140" s="413"/>
    </row>
    <row r="141" spans="1:13" ht="11.25" customHeight="1">
      <c r="A141" s="420"/>
      <c r="B141" s="421"/>
      <c r="C141" s="422"/>
      <c r="D141" s="423"/>
      <c r="E141" s="421"/>
      <c r="F141" s="413"/>
      <c r="G141" s="413"/>
      <c r="H141" s="413"/>
      <c r="I141" s="413"/>
      <c r="J141" s="413"/>
      <c r="K141" s="413"/>
      <c r="L141" s="413"/>
      <c r="M141" s="413"/>
    </row>
    <row r="142" spans="1:13" ht="11.25" customHeight="1">
      <c r="A142" s="420"/>
      <c r="B142" s="421"/>
      <c r="C142" s="422"/>
      <c r="D142" s="423"/>
      <c r="E142" s="421"/>
      <c r="F142" s="413"/>
      <c r="G142" s="413"/>
      <c r="H142" s="413"/>
      <c r="I142" s="413"/>
      <c r="J142" s="413"/>
      <c r="K142" s="413"/>
      <c r="L142" s="413"/>
      <c r="M142" s="413"/>
    </row>
    <row r="143" spans="1:13" ht="11.25" customHeight="1">
      <c r="A143" s="420"/>
      <c r="B143" s="421"/>
      <c r="C143" s="422"/>
      <c r="D143" s="423"/>
      <c r="E143" s="421"/>
      <c r="F143" s="413"/>
      <c r="G143" s="413"/>
      <c r="H143" s="413"/>
      <c r="I143" s="413"/>
      <c r="J143" s="413"/>
      <c r="K143" s="413"/>
      <c r="L143" s="413"/>
      <c r="M143" s="413"/>
    </row>
    <row r="144" spans="1:13" ht="11.25" customHeight="1">
      <c r="A144" s="420"/>
      <c r="B144" s="421"/>
      <c r="C144" s="422"/>
      <c r="D144" s="423"/>
      <c r="E144" s="421"/>
      <c r="F144" s="413"/>
      <c r="G144" s="413"/>
      <c r="H144" s="413"/>
      <c r="I144" s="413"/>
      <c r="J144" s="413"/>
      <c r="K144" s="413"/>
      <c r="L144" s="413"/>
      <c r="M144" s="413"/>
    </row>
    <row r="145" spans="1:13" ht="11.25" customHeight="1">
      <c r="A145" s="420"/>
      <c r="B145" s="421"/>
      <c r="C145" s="422"/>
      <c r="D145" s="423"/>
      <c r="E145" s="421"/>
      <c r="F145" s="413"/>
      <c r="G145" s="413"/>
      <c r="H145" s="413"/>
      <c r="I145" s="413"/>
      <c r="J145" s="413"/>
      <c r="K145" s="413"/>
      <c r="L145" s="413"/>
      <c r="M145" s="413"/>
    </row>
    <row r="146" spans="1:13" ht="11.25" customHeight="1">
      <c r="A146" s="420"/>
      <c r="B146" s="421"/>
      <c r="C146" s="422"/>
      <c r="D146" s="423"/>
      <c r="E146" s="421"/>
      <c r="F146" s="413"/>
      <c r="G146" s="413"/>
      <c r="H146" s="413"/>
      <c r="I146" s="413"/>
      <c r="J146" s="413"/>
      <c r="K146" s="413"/>
      <c r="L146" s="413"/>
      <c r="M146" s="413"/>
    </row>
    <row r="147" spans="1:13" ht="11.25" customHeight="1">
      <c r="A147" s="420"/>
      <c r="B147" s="421"/>
      <c r="C147" s="422"/>
      <c r="D147" s="423"/>
      <c r="E147" s="421"/>
      <c r="F147" s="413"/>
      <c r="G147" s="413"/>
      <c r="H147" s="413"/>
      <c r="I147" s="413"/>
      <c r="J147" s="413"/>
      <c r="K147" s="413"/>
      <c r="L147" s="413"/>
      <c r="M147" s="413"/>
    </row>
    <row r="148" spans="1:13" ht="11.25" customHeight="1">
      <c r="A148" s="420"/>
      <c r="B148" s="421"/>
      <c r="C148" s="422"/>
      <c r="D148" s="423"/>
      <c r="E148" s="421"/>
      <c r="F148" s="413"/>
      <c r="G148" s="413"/>
      <c r="H148" s="413"/>
      <c r="I148" s="413"/>
      <c r="J148" s="413"/>
      <c r="K148" s="413"/>
      <c r="L148" s="413"/>
      <c r="M148" s="413"/>
    </row>
    <row r="149" spans="1:13" ht="11.25" customHeight="1">
      <c r="A149" s="420"/>
      <c r="B149" s="421"/>
      <c r="C149" s="422"/>
      <c r="D149" s="423"/>
      <c r="E149" s="421"/>
      <c r="F149" s="413"/>
      <c r="G149" s="413"/>
      <c r="H149" s="413"/>
      <c r="I149" s="413"/>
      <c r="J149" s="413"/>
      <c r="K149" s="413"/>
      <c r="L149" s="413"/>
      <c r="M149" s="413"/>
    </row>
    <row r="150" spans="1:13" ht="11.25" customHeight="1">
      <c r="A150" s="420"/>
      <c r="B150" s="421"/>
      <c r="C150" s="422"/>
      <c r="D150" s="423"/>
      <c r="E150" s="421"/>
      <c r="F150" s="413"/>
      <c r="G150" s="413"/>
      <c r="H150" s="413"/>
      <c r="I150" s="413"/>
      <c r="J150" s="413"/>
      <c r="K150" s="413"/>
      <c r="L150" s="413"/>
      <c r="M150" s="413"/>
    </row>
    <row r="151" spans="1:13" ht="11.25" customHeight="1">
      <c r="A151" s="420"/>
      <c r="B151" s="421"/>
      <c r="C151" s="422"/>
      <c r="D151" s="423"/>
      <c r="E151" s="421"/>
      <c r="F151" s="413"/>
      <c r="G151" s="413"/>
      <c r="H151" s="413"/>
      <c r="I151" s="413"/>
      <c r="J151" s="413"/>
      <c r="K151" s="413"/>
      <c r="L151" s="413"/>
      <c r="M151" s="413"/>
    </row>
    <row r="152" spans="1:13" ht="11.25" customHeight="1">
      <c r="A152" s="420"/>
      <c r="B152" s="421"/>
      <c r="C152" s="422"/>
      <c r="D152" s="423"/>
      <c r="E152" s="421"/>
      <c r="F152" s="413"/>
      <c r="G152" s="413"/>
      <c r="H152" s="413"/>
      <c r="I152" s="413"/>
      <c r="J152" s="413"/>
      <c r="K152" s="413"/>
      <c r="L152" s="413"/>
      <c r="M152" s="413"/>
    </row>
    <row r="153" spans="1:13" ht="11.25" customHeight="1">
      <c r="A153" s="420"/>
      <c r="B153" s="421"/>
      <c r="C153" s="422"/>
      <c r="D153" s="423"/>
      <c r="E153" s="421"/>
      <c r="F153" s="413"/>
      <c r="G153" s="413"/>
      <c r="H153" s="413"/>
      <c r="I153" s="413"/>
      <c r="J153" s="413"/>
      <c r="K153" s="413"/>
      <c r="L153" s="413"/>
      <c r="M153" s="413"/>
    </row>
    <row r="154" spans="1:13" ht="11.25" customHeight="1">
      <c r="A154" s="420"/>
      <c r="B154" s="421"/>
      <c r="C154" s="422"/>
      <c r="D154" s="423"/>
      <c r="E154" s="421"/>
      <c r="F154" s="413"/>
      <c r="G154" s="413"/>
      <c r="H154" s="413"/>
      <c r="I154" s="413"/>
      <c r="J154" s="413"/>
      <c r="K154" s="413"/>
      <c r="L154" s="413"/>
      <c r="M154" s="413"/>
    </row>
    <row r="155" spans="1:13" ht="11.25" customHeight="1">
      <c r="A155" s="420"/>
      <c r="B155" s="421"/>
      <c r="C155" s="422"/>
      <c r="D155" s="423"/>
      <c r="E155" s="421"/>
      <c r="F155" s="413"/>
      <c r="G155" s="413"/>
      <c r="H155" s="413"/>
      <c r="I155" s="413"/>
      <c r="J155" s="413"/>
      <c r="K155" s="413"/>
      <c r="L155" s="413"/>
      <c r="M155" s="413"/>
    </row>
    <row r="156" spans="1:13" ht="11.25" customHeight="1">
      <c r="A156" s="420"/>
      <c r="B156" s="421"/>
      <c r="C156" s="422"/>
      <c r="D156" s="423"/>
      <c r="E156" s="421"/>
      <c r="F156" s="413"/>
      <c r="G156" s="413"/>
      <c r="H156" s="413"/>
      <c r="I156" s="413"/>
      <c r="J156" s="413"/>
      <c r="K156" s="413"/>
      <c r="L156" s="413"/>
      <c r="M156" s="413"/>
    </row>
    <row r="157" spans="1:13" ht="11.25" customHeight="1">
      <c r="A157" s="420"/>
      <c r="B157" s="421"/>
      <c r="C157" s="422"/>
      <c r="D157" s="423"/>
      <c r="E157" s="421"/>
      <c r="F157" s="413"/>
      <c r="G157" s="413"/>
      <c r="H157" s="413"/>
      <c r="I157" s="413"/>
      <c r="J157" s="413"/>
      <c r="K157" s="413"/>
      <c r="L157" s="413"/>
      <c r="M157" s="413"/>
    </row>
    <row r="158" spans="1:13" ht="11.25" customHeight="1">
      <c r="A158" s="420"/>
      <c r="B158" s="421"/>
      <c r="C158" s="422"/>
      <c r="D158" s="423"/>
      <c r="E158" s="421"/>
      <c r="F158" s="413"/>
      <c r="G158" s="413"/>
      <c r="H158" s="413"/>
      <c r="I158" s="413"/>
      <c r="J158" s="413"/>
      <c r="K158" s="413"/>
      <c r="L158" s="413"/>
      <c r="M158" s="413"/>
    </row>
    <row r="159" spans="1:13" ht="11.25" customHeight="1">
      <c r="A159" s="420"/>
      <c r="B159" s="421"/>
      <c r="C159" s="422"/>
      <c r="D159" s="423"/>
      <c r="E159" s="421"/>
      <c r="F159" s="413"/>
      <c r="G159" s="413"/>
      <c r="H159" s="413"/>
      <c r="I159" s="413"/>
      <c r="J159" s="413"/>
      <c r="K159" s="413"/>
      <c r="L159" s="413"/>
      <c r="M159" s="413"/>
    </row>
    <row r="160" spans="1:13" ht="11.25" customHeight="1">
      <c r="A160" s="420"/>
      <c r="B160" s="421"/>
      <c r="C160" s="422"/>
      <c r="D160" s="423"/>
      <c r="E160" s="421"/>
      <c r="F160" s="413"/>
      <c r="G160" s="413"/>
      <c r="H160" s="413"/>
      <c r="I160" s="413"/>
      <c r="J160" s="413"/>
      <c r="K160" s="413"/>
      <c r="L160" s="413"/>
      <c r="M160" s="413"/>
    </row>
    <row r="161" spans="1:13" ht="11.25" customHeight="1">
      <c r="A161" s="420"/>
      <c r="B161" s="421"/>
      <c r="C161" s="422"/>
      <c r="D161" s="423"/>
      <c r="E161" s="421"/>
      <c r="F161" s="413"/>
      <c r="G161" s="413"/>
      <c r="H161" s="413"/>
      <c r="I161" s="413"/>
      <c r="J161" s="413"/>
      <c r="K161" s="413"/>
      <c r="L161" s="413"/>
      <c r="M161" s="413"/>
    </row>
    <row r="162" spans="1:13" ht="11.25" customHeight="1">
      <c r="A162" s="420"/>
      <c r="B162" s="421"/>
      <c r="C162" s="422"/>
      <c r="D162" s="423"/>
      <c r="E162" s="421"/>
      <c r="F162" s="413"/>
      <c r="G162" s="413"/>
      <c r="H162" s="413"/>
      <c r="I162" s="413"/>
      <c r="J162" s="413"/>
      <c r="K162" s="413"/>
      <c r="L162" s="413"/>
      <c r="M162" s="413"/>
    </row>
    <row r="163" spans="1:13" ht="11.25" customHeight="1">
      <c r="A163" s="420"/>
      <c r="B163" s="421"/>
      <c r="C163" s="422"/>
      <c r="D163" s="423"/>
      <c r="E163" s="421"/>
      <c r="F163" s="413"/>
      <c r="G163" s="413"/>
      <c r="H163" s="413"/>
      <c r="I163" s="413"/>
      <c r="J163" s="413"/>
      <c r="K163" s="413"/>
      <c r="L163" s="413"/>
      <c r="M163" s="413"/>
    </row>
    <row r="164" spans="1:13" ht="11.25" customHeight="1">
      <c r="A164" s="420"/>
      <c r="B164" s="421"/>
      <c r="C164" s="422"/>
      <c r="D164" s="423"/>
      <c r="E164" s="421"/>
      <c r="F164" s="413"/>
      <c r="G164" s="413"/>
      <c r="H164" s="413"/>
      <c r="I164" s="413"/>
      <c r="J164" s="413"/>
      <c r="K164" s="413"/>
      <c r="L164" s="413"/>
      <c r="M164" s="413"/>
    </row>
    <row r="165" spans="1:13" ht="11.25" customHeight="1">
      <c r="A165" s="420"/>
      <c r="B165" s="421"/>
      <c r="C165" s="422"/>
      <c r="D165" s="423"/>
      <c r="E165" s="421"/>
      <c r="F165" s="413"/>
      <c r="G165" s="413"/>
      <c r="H165" s="413"/>
      <c r="I165" s="413"/>
      <c r="J165" s="413"/>
      <c r="K165" s="413"/>
      <c r="L165" s="413"/>
      <c r="M165" s="413"/>
    </row>
    <row r="166" spans="1:13" ht="11.25" customHeight="1">
      <c r="A166" s="420"/>
      <c r="B166" s="421"/>
      <c r="C166" s="422"/>
      <c r="D166" s="423"/>
      <c r="E166" s="421"/>
      <c r="F166" s="413"/>
      <c r="G166" s="413"/>
      <c r="H166" s="413"/>
      <c r="I166" s="413"/>
      <c r="J166" s="413"/>
      <c r="K166" s="413"/>
      <c r="L166" s="413"/>
      <c r="M166" s="413"/>
    </row>
    <row r="167" spans="1:13" ht="11.25" customHeight="1">
      <c r="A167" s="420"/>
      <c r="B167" s="421"/>
      <c r="C167" s="422"/>
      <c r="D167" s="423"/>
      <c r="E167" s="421"/>
      <c r="F167" s="413"/>
      <c r="G167" s="413"/>
      <c r="H167" s="413"/>
      <c r="I167" s="413"/>
      <c r="J167" s="413"/>
      <c r="K167" s="413"/>
      <c r="L167" s="413"/>
      <c r="M167" s="413"/>
    </row>
    <row r="168" spans="1:13" ht="11.25" customHeight="1">
      <c r="A168" s="420"/>
      <c r="B168" s="421"/>
      <c r="C168" s="422"/>
      <c r="D168" s="423"/>
      <c r="E168" s="421"/>
      <c r="F168" s="413"/>
      <c r="G168" s="413"/>
      <c r="H168" s="413"/>
      <c r="I168" s="413"/>
      <c r="J168" s="413"/>
      <c r="K168" s="413"/>
      <c r="L168" s="413"/>
      <c r="M168" s="413"/>
    </row>
    <row r="169" spans="1:13" ht="11.25" customHeight="1">
      <c r="A169" s="420"/>
      <c r="B169" s="421"/>
      <c r="C169" s="422"/>
      <c r="D169" s="423"/>
      <c r="E169" s="421"/>
      <c r="F169" s="413"/>
      <c r="G169" s="413"/>
      <c r="H169" s="413"/>
      <c r="I169" s="413"/>
      <c r="J169" s="413"/>
      <c r="K169" s="413"/>
      <c r="L169" s="413"/>
      <c r="M169" s="413"/>
    </row>
    <row r="170" spans="1:13" ht="11.25" customHeight="1">
      <c r="A170" s="420"/>
      <c r="B170" s="421"/>
      <c r="C170" s="422"/>
      <c r="D170" s="423"/>
      <c r="E170" s="421"/>
      <c r="F170" s="413"/>
      <c r="G170" s="413"/>
      <c r="H170" s="413"/>
      <c r="I170" s="413"/>
      <c r="J170" s="413"/>
      <c r="K170" s="413"/>
      <c r="L170" s="413"/>
      <c r="M170" s="413"/>
    </row>
    <row r="171" spans="1:13" ht="11.25" customHeight="1">
      <c r="A171" s="420"/>
      <c r="B171" s="421"/>
      <c r="C171" s="422"/>
      <c r="D171" s="423"/>
      <c r="E171" s="421"/>
      <c r="F171" s="413"/>
      <c r="G171" s="413"/>
      <c r="H171" s="413"/>
      <c r="I171" s="413"/>
      <c r="J171" s="413"/>
      <c r="K171" s="413"/>
      <c r="L171" s="413"/>
      <c r="M171" s="413"/>
    </row>
    <row r="172" spans="1:13" ht="11.25" customHeight="1">
      <c r="A172" s="420"/>
      <c r="B172" s="421"/>
      <c r="C172" s="422"/>
      <c r="D172" s="423"/>
      <c r="E172" s="421"/>
      <c r="F172" s="413"/>
      <c r="G172" s="413"/>
      <c r="H172" s="413"/>
      <c r="I172" s="413"/>
      <c r="J172" s="413"/>
      <c r="K172" s="413"/>
      <c r="L172" s="413"/>
      <c r="M172" s="413"/>
    </row>
    <row r="173" spans="1:13" ht="11.25" customHeight="1">
      <c r="A173" s="420"/>
      <c r="B173" s="421"/>
      <c r="C173" s="422"/>
      <c r="D173" s="423"/>
      <c r="E173" s="421"/>
      <c r="F173" s="413"/>
      <c r="G173" s="413"/>
      <c r="H173" s="413"/>
      <c r="I173" s="413"/>
      <c r="J173" s="413"/>
      <c r="K173" s="413"/>
      <c r="L173" s="413"/>
      <c r="M173" s="413"/>
    </row>
    <row r="174" spans="1:13" ht="11.25" customHeight="1">
      <c r="A174" s="420"/>
      <c r="B174" s="421"/>
      <c r="C174" s="422"/>
      <c r="D174" s="423"/>
      <c r="E174" s="421"/>
      <c r="F174" s="413"/>
      <c r="G174" s="413"/>
      <c r="H174" s="413"/>
      <c r="I174" s="413"/>
      <c r="J174" s="413"/>
      <c r="K174" s="413"/>
      <c r="L174" s="413"/>
      <c r="M174" s="413"/>
    </row>
    <row r="175" spans="1:13" ht="11.25" customHeight="1">
      <c r="A175" s="420"/>
      <c r="B175" s="421"/>
      <c r="C175" s="422"/>
      <c r="D175" s="423"/>
      <c r="E175" s="421"/>
      <c r="F175" s="413"/>
      <c r="G175" s="413"/>
      <c r="H175" s="413"/>
      <c r="I175" s="413"/>
      <c r="J175" s="413"/>
      <c r="K175" s="413"/>
      <c r="L175" s="413"/>
      <c r="M175" s="413"/>
    </row>
    <row r="176" spans="1:13" ht="11.25" customHeight="1">
      <c r="A176" s="420"/>
      <c r="B176" s="421"/>
      <c r="C176" s="422"/>
      <c r="D176" s="423"/>
      <c r="E176" s="421"/>
      <c r="F176" s="413"/>
      <c r="G176" s="413"/>
      <c r="H176" s="413"/>
      <c r="I176" s="413"/>
      <c r="J176" s="413"/>
      <c r="K176" s="413"/>
      <c r="L176" s="413"/>
      <c r="M176" s="413"/>
    </row>
    <row r="177" spans="1:13" ht="11.25" customHeight="1">
      <c r="A177" s="420"/>
      <c r="B177" s="421"/>
      <c r="C177" s="422"/>
      <c r="D177" s="423"/>
      <c r="E177" s="421"/>
      <c r="F177" s="413"/>
      <c r="G177" s="413"/>
      <c r="H177" s="413"/>
      <c r="I177" s="413"/>
      <c r="J177" s="413"/>
      <c r="K177" s="413"/>
      <c r="L177" s="413"/>
      <c r="M177" s="413"/>
    </row>
    <row r="178" spans="1:13" ht="11.25" customHeight="1">
      <c r="A178" s="420"/>
      <c r="B178" s="421"/>
      <c r="C178" s="422"/>
      <c r="D178" s="423"/>
      <c r="E178" s="421"/>
      <c r="F178" s="413"/>
      <c r="G178" s="413"/>
      <c r="H178" s="413"/>
      <c r="I178" s="413"/>
      <c r="J178" s="413"/>
      <c r="K178" s="413"/>
      <c r="L178" s="413"/>
      <c r="M178" s="413"/>
    </row>
    <row r="179" spans="1:13" ht="11.25" customHeight="1">
      <c r="A179" s="420"/>
      <c r="B179" s="421"/>
      <c r="C179" s="422"/>
      <c r="D179" s="423"/>
      <c r="E179" s="421"/>
      <c r="F179" s="413"/>
      <c r="G179" s="413"/>
      <c r="H179" s="413"/>
      <c r="I179" s="413"/>
      <c r="J179" s="413"/>
      <c r="K179" s="413"/>
      <c r="L179" s="413"/>
      <c r="M179" s="413"/>
    </row>
    <row r="180" spans="1:13" ht="11.25" customHeight="1">
      <c r="A180" s="420"/>
      <c r="B180" s="421"/>
      <c r="C180" s="422"/>
      <c r="D180" s="423"/>
      <c r="E180" s="421"/>
      <c r="F180" s="413"/>
      <c r="G180" s="413"/>
      <c r="H180" s="413"/>
      <c r="I180" s="413"/>
      <c r="J180" s="413"/>
      <c r="K180" s="413"/>
      <c r="L180" s="413"/>
      <c r="M180" s="413"/>
    </row>
    <row r="181" spans="1:13" ht="11.25" customHeight="1">
      <c r="A181" s="420"/>
      <c r="B181" s="421"/>
      <c r="C181" s="422"/>
      <c r="D181" s="423"/>
      <c r="E181" s="421"/>
      <c r="F181" s="413"/>
      <c r="G181" s="413"/>
      <c r="H181" s="413"/>
      <c r="I181" s="413"/>
      <c r="J181" s="413"/>
      <c r="K181" s="413"/>
      <c r="L181" s="413"/>
      <c r="M181" s="413"/>
    </row>
    <row r="182" spans="1:13" ht="11.25" customHeight="1">
      <c r="A182" s="420"/>
      <c r="B182" s="421"/>
      <c r="C182" s="422"/>
      <c r="D182" s="423"/>
      <c r="E182" s="421"/>
      <c r="F182" s="413"/>
      <c r="G182" s="413"/>
      <c r="H182" s="413"/>
      <c r="I182" s="413"/>
      <c r="J182" s="413"/>
      <c r="K182" s="413"/>
      <c r="L182" s="413"/>
      <c r="M182" s="413"/>
    </row>
    <row r="183" spans="1:13" ht="11.25" customHeight="1">
      <c r="A183" s="420"/>
      <c r="B183" s="421"/>
      <c r="C183" s="422"/>
      <c r="D183" s="423"/>
      <c r="E183" s="421"/>
      <c r="F183" s="413"/>
      <c r="G183" s="413"/>
      <c r="H183" s="413"/>
      <c r="I183" s="413"/>
      <c r="J183" s="413"/>
      <c r="K183" s="413"/>
      <c r="L183" s="413"/>
      <c r="M183" s="413"/>
    </row>
    <row r="184" spans="1:13" ht="11.25" customHeight="1">
      <c r="A184" s="420"/>
      <c r="B184" s="421"/>
      <c r="C184" s="422"/>
      <c r="D184" s="423"/>
      <c r="E184" s="421"/>
      <c r="F184" s="413"/>
      <c r="G184" s="413"/>
      <c r="H184" s="413"/>
      <c r="I184" s="413"/>
      <c r="J184" s="413"/>
      <c r="K184" s="413"/>
      <c r="L184" s="413"/>
      <c r="M184" s="413"/>
    </row>
    <row r="185" spans="1:13" ht="11.25" customHeight="1">
      <c r="A185" s="420"/>
      <c r="B185" s="421"/>
      <c r="C185" s="422"/>
      <c r="D185" s="423"/>
      <c r="E185" s="421"/>
      <c r="F185" s="413"/>
      <c r="G185" s="413"/>
      <c r="H185" s="413"/>
      <c r="I185" s="413"/>
      <c r="J185" s="413"/>
      <c r="K185" s="413"/>
      <c r="L185" s="413"/>
      <c r="M185" s="413"/>
    </row>
    <row r="186" spans="1:10" ht="12.75">
      <c r="A186" s="424"/>
      <c r="B186" s="425"/>
      <c r="C186" s="426"/>
      <c r="D186" s="427"/>
      <c r="E186" s="427"/>
      <c r="F186" s="304"/>
      <c r="G186" s="304"/>
      <c r="H186" s="304"/>
      <c r="I186" s="304"/>
      <c r="J186" s="304"/>
    </row>
    <row r="187" spans="1:10" ht="25.5" customHeight="1">
      <c r="A187" s="429" t="str">
        <f>A96</f>
        <v>FONTE: Sistema &lt;sistema&gt;, Unidade Responsável: &lt;Unidade Responsável&gt;. Emissão: &lt;dd/mm/aaaa&gt;, às &lt;hh:mm:ss&gt;. Assinado Digitalmente no dia &lt;dd/mm/aaaa&gt;, às &lt;hh:mm:ss&gt;.</v>
      </c>
      <c r="B187" s="141"/>
      <c r="C187" s="141"/>
      <c r="D187" s="141"/>
      <c r="E187" s="141"/>
      <c r="F187" s="304"/>
      <c r="G187" s="304"/>
      <c r="H187" s="304"/>
      <c r="I187" s="304"/>
      <c r="J187" s="304"/>
    </row>
    <row r="188" spans="1:10" ht="11.25">
      <c r="A188" s="800" t="str">
        <f>A97</f>
        <v>Notas: 1 Projeção atuarial elaborada em &lt;DATA DA AVALIAÇÃO&gt; e oficialmente enviada para o Ministério da Previdência Social – MPS.</v>
      </c>
      <c r="B188" s="800"/>
      <c r="C188" s="800"/>
      <c r="D188" s="800"/>
      <c r="E188" s="800"/>
      <c r="F188" s="214"/>
      <c r="G188" s="214"/>
      <c r="H188" s="214"/>
      <c r="I188" s="214"/>
      <c r="J188" s="214"/>
    </row>
    <row r="189" spans="1:5" ht="11.25">
      <c r="A189" s="953" t="str">
        <f>A98</f>
        <v>2 Este Demonstrativo utiliza as seguintes hipóteses:
&lt;HIPÓTESE&gt;: &lt;VALOR&gt;</v>
      </c>
      <c r="B189" s="953"/>
      <c r="C189" s="953"/>
      <c r="D189" s="953"/>
      <c r="E189" s="953"/>
    </row>
    <row r="194" spans="1:5" ht="11.25" customHeight="1">
      <c r="A194" s="952">
        <f>IF(A103&lt;&gt;"",A103,"")</f>
      </c>
      <c r="B194" s="952"/>
      <c r="C194" s="428">
        <f>IF(C103&lt;&gt;"",C103,"")</f>
      </c>
      <c r="D194" s="952">
        <f>IF(D103&lt;&gt;"",D103,"")</f>
      </c>
      <c r="E194" s="952"/>
    </row>
    <row r="195" spans="1:5" ht="11.25" customHeight="1">
      <c r="A195" s="952">
        <f>IF(A104&lt;&gt;"",A104,"")</f>
      </c>
      <c r="B195" s="952"/>
      <c r="C195" s="428">
        <f>IF(C104&lt;&gt;"",C104,"")</f>
      </c>
      <c r="D195" s="952">
        <f>IF(D104&lt;&gt;"",D104,"")</f>
      </c>
      <c r="E195" s="952"/>
    </row>
  </sheetData>
  <sheetProtection/>
  <mergeCells count="18">
    <mergeCell ref="A108:E108"/>
    <mergeCell ref="A96:E96"/>
    <mergeCell ref="A97:E97"/>
    <mergeCell ref="A98:E98"/>
    <mergeCell ref="A103:B103"/>
    <mergeCell ref="D103:E103"/>
    <mergeCell ref="A104:B104"/>
    <mergeCell ref="D104:E104"/>
    <mergeCell ref="A194:B194"/>
    <mergeCell ref="A195:B195"/>
    <mergeCell ref="D194:E194"/>
    <mergeCell ref="D195:E195"/>
    <mergeCell ref="A11:J11"/>
    <mergeCell ref="A13:J13"/>
    <mergeCell ref="A14:J14"/>
    <mergeCell ref="A188:E188"/>
    <mergeCell ref="A189:E189"/>
    <mergeCell ref="A17:E17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2020-05-22T16:30:26Z</cp:lastPrinted>
  <dcterms:created xsi:type="dcterms:W3CDTF">2004-08-09T19:29:24Z</dcterms:created>
  <dcterms:modified xsi:type="dcterms:W3CDTF">2020-05-22T16:30:33Z</dcterms:modified>
  <cp:category/>
  <cp:version/>
  <cp:contentType/>
  <cp:contentStatus/>
</cp:coreProperties>
</file>