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65521" windowWidth="10830" windowHeight="9855" tabRatio="911" activeTab="0"/>
  </bookViews>
  <sheets>
    <sheet name="RREO-Anexo 01" sheetId="1" r:id="rId1"/>
    <sheet name="RREO-Anexo 02" sheetId="2" r:id="rId2"/>
    <sheet name="RREO-Anexo 03" sheetId="3" r:id="rId3"/>
    <sheet name="RREO-Anexo 04" sheetId="4" r:id="rId4"/>
    <sheet name="RREO-Anexo 06" sheetId="5" r:id="rId5"/>
    <sheet name="RREO-Anexo 07" sheetId="6" r:id="rId6"/>
    <sheet name="RREO-Anexo 08" sheetId="7" r:id="rId7"/>
    <sheet name="RREO-Anexo 09" sheetId="8" r:id="rId8"/>
    <sheet name="RREO-Anexo 10" sheetId="9" r:id="rId9"/>
    <sheet name="RREO-Anexo 11" sheetId="10" r:id="rId10"/>
    <sheet name="RREO-Anexo 12" sheetId="11" r:id="rId11"/>
    <sheet name="RREO-Anexo 13" sheetId="12" r:id="rId12"/>
    <sheet name="RREO-Anexo 14" sheetId="13" r:id="rId13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Ganhos_e_perdas_de_receita" localSheetId="4">#REF!</definedName>
    <definedName name="Ganhos_e_Perdas_de_Receita_99" localSheetId="4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3">#REF!,#REF!</definedName>
    <definedName name="Planilha_1ÁreaTotal" localSheetId="4">#REF!,#REF!</definedName>
    <definedName name="Planilha_1ÁreaTotal" localSheetId="5">'RREO-Anexo 07'!#REF!,'RREO-Anexo 07'!$H$19:$L$29</definedName>
    <definedName name="Planilha_1ÁreaTotal" localSheetId="6">#REF!,#REF!</definedName>
    <definedName name="Planilha_1ÁreaTotal" localSheetId="7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3">#REF!</definedName>
    <definedName name="Planilha_1CabGráfico" localSheetId="4">#REF!</definedName>
    <definedName name="Planilha_1CabGráfico" localSheetId="5">'RREO-Anexo 07'!#REF!</definedName>
    <definedName name="Planilha_1CabGráfico" localSheetId="6">#REF!</definedName>
    <definedName name="Planilha_1CabGráfico" localSheetId="7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3">#REF!,#REF!</definedName>
    <definedName name="Planilha_1TítCols" localSheetId="4">#REF!,#REF!</definedName>
    <definedName name="Planilha_1TítCols" localSheetId="5">'RREO-Anexo 07'!#REF!,'RREO-Anexo 07'!#REF!</definedName>
    <definedName name="Planilha_1TítCols" localSheetId="6">#REF!,#REF!</definedName>
    <definedName name="Planilha_1TítCols" localSheetId="7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3">#REF!</definedName>
    <definedName name="Planilha_1TítLins" localSheetId="4">#REF!</definedName>
    <definedName name="Planilha_1TítLins" localSheetId="5">'RREO-Anexo 07'!#REF!</definedName>
    <definedName name="Planilha_1TítLins" localSheetId="6">#REF!</definedName>
    <definedName name="Planilha_1TítLins" localSheetId="7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4">#REF!,#REF!</definedName>
    <definedName name="Planilha_2ÁreaTotal" localSheetId="5">#REF!,#REF!</definedName>
    <definedName name="Planilha_2ÁreaTotal" localSheetId="6">#REF!,#REF!</definedName>
    <definedName name="Planilha_2ÁreaTotal" localSheetId="9">#REF!,#REF!</definedName>
    <definedName name="Planilha_2ÁreaTotal" localSheetId="10">#REF!,#REF!</definedName>
    <definedName name="Planilha_2ÁreaTotal">#REF!,#REF!</definedName>
    <definedName name="Planilha_2CabGráfico" localSheetId="4">#REF!</definedName>
    <definedName name="Planilha_2CabGráfico" localSheetId="5">#REF!</definedName>
    <definedName name="Planilha_2CabGráfico" localSheetId="6">#REF!</definedName>
    <definedName name="Planilha_2CabGráfico" localSheetId="10">#REF!</definedName>
    <definedName name="Planilha_2CabGráfico">#REF!</definedName>
    <definedName name="Planilha_2TítCols" localSheetId="4">#REF!,#REF!</definedName>
    <definedName name="Planilha_2TítCols" localSheetId="5">#REF!,#REF!</definedName>
    <definedName name="Planilha_2TítCols" localSheetId="6">#REF!,#REF!</definedName>
    <definedName name="Planilha_2TítCols" localSheetId="9">#REF!,#REF!</definedName>
    <definedName name="Planilha_2TítCols" localSheetId="10">#REF!,#REF!</definedName>
    <definedName name="Planilha_2TítCols">#REF!,#REF!</definedName>
    <definedName name="Planilha_2TítLins" localSheetId="4">#REF!</definedName>
    <definedName name="Planilha_2TítLins" localSheetId="5">#REF!</definedName>
    <definedName name="Planilha_2TítLins" localSheetId="6">#REF!</definedName>
    <definedName name="Planilha_2TítLins" localSheetId="10">#REF!</definedName>
    <definedName name="Planilha_2TítLins">#REF!</definedName>
    <definedName name="Planilha_3ÁreaTotal" localSheetId="4">#REF!,#REF!</definedName>
    <definedName name="Planilha_3ÁreaTotal" localSheetId="5">#REF!,#REF!</definedName>
    <definedName name="Planilha_3ÁreaTotal" localSheetId="6">#REF!,#REF!</definedName>
    <definedName name="Planilha_3ÁreaTotal" localSheetId="9">#REF!,#REF!</definedName>
    <definedName name="Planilha_3ÁreaTotal" localSheetId="10">#REF!,#REF!</definedName>
    <definedName name="Planilha_3ÁreaTotal">#REF!,#REF!</definedName>
    <definedName name="Planilha_3CabGráfico" localSheetId="4">#REF!</definedName>
    <definedName name="Planilha_3CabGráfico" localSheetId="5">#REF!</definedName>
    <definedName name="Planilha_3CabGráfico" localSheetId="6">#REF!</definedName>
    <definedName name="Planilha_3CabGráfico" localSheetId="10">#REF!</definedName>
    <definedName name="Planilha_3CabGráfico">#REF!</definedName>
    <definedName name="Planilha_3TítCols" localSheetId="4">#REF!,#REF!</definedName>
    <definedName name="Planilha_3TítCols" localSheetId="5">#REF!,#REF!</definedName>
    <definedName name="Planilha_3TítCols" localSheetId="6">#REF!,#REF!</definedName>
    <definedName name="Planilha_3TítCols" localSheetId="9">#REF!,#REF!</definedName>
    <definedName name="Planilha_3TítCols" localSheetId="10">#REF!,#REF!</definedName>
    <definedName name="Planilha_3TítCols">#REF!,#REF!</definedName>
    <definedName name="Planilha_3TítLins" localSheetId="4">#REF!</definedName>
    <definedName name="Planilha_3TítLins" localSheetId="5">#REF!</definedName>
    <definedName name="Planilha_3TítLins" localSheetId="6">#REF!</definedName>
    <definedName name="Planilha_3TítLins" localSheetId="10">#REF!</definedName>
    <definedName name="Planilha_3TítLins">#REF!</definedName>
    <definedName name="Planilha_4ÁreaTotal" localSheetId="4">#REF!,#REF!</definedName>
    <definedName name="Planilha_4ÁreaTotal" localSheetId="5">#REF!,#REF!</definedName>
    <definedName name="Planilha_4ÁreaTotal" localSheetId="6">#REF!,#REF!</definedName>
    <definedName name="Planilha_4ÁreaTotal" localSheetId="9">#REF!,#REF!</definedName>
    <definedName name="Planilha_4ÁreaTotal" localSheetId="10">#REF!,#REF!</definedName>
    <definedName name="Planilha_4ÁreaTotal">#REF!,#REF!</definedName>
    <definedName name="Planilha_4TítCols" localSheetId="4">#REF!,#REF!</definedName>
    <definedName name="Planilha_4TítCols" localSheetId="5">#REF!,#REF!</definedName>
    <definedName name="Planilha_4TítCols" localSheetId="6">#REF!,#REF!</definedName>
    <definedName name="Planilha_4TítCols" localSheetId="9">#REF!,#REF!</definedName>
    <definedName name="Planilha_4TítCols" localSheetId="10">#REF!,#REF!</definedName>
    <definedName name="Planilha_4TítCols">#REF!,#REF!</definedName>
    <definedName name="Planilha_Educação" localSheetId="9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4">#REF!</definedName>
    <definedName name="Tabela_10___Resultado_Primário_do_Governo_Central_em_1999" localSheetId="4">#REF!</definedName>
    <definedName name="Tabela_2___Contribuições_Previdenciárias" localSheetId="4">#REF!</definedName>
    <definedName name="Tabela_3___Benefícios__previsto_x_realizado" localSheetId="4">#REF!</definedName>
    <definedName name="Tabela_4___Receitas_Administradas_pela_SRF__previsto_x_realizado" localSheetId="4">#REF!</definedName>
    <definedName name="Tabela_5___Receitas_Administradas_em_Agosto" localSheetId="4">#REF!</definedName>
    <definedName name="Tabela_6___Receitas_Diretamente_Arrecadadas" localSheetId="4">#REF!</definedName>
    <definedName name="Tabela_7___Déficit_da_Previdência_Social_em_1999" localSheetId="4">#REF!</definedName>
    <definedName name="Tabela_8___Receitas_Administradas__revisão_da_previsão" localSheetId="4">#REF!</definedName>
    <definedName name="Tabela_9___Resultado_Primário_de_1999" localSheetId="4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<sst xmlns="http://schemas.openxmlformats.org/spreadsheetml/2006/main" count="2119" uniqueCount="1087">
  <si>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</si>
  <si>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</si>
  <si>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</si>
  <si>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</si>
  <si>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RREO - Anexo XVIII (LRF, Art. 48)</t>
  </si>
  <si>
    <t>&lt;EXERCÍCIO ANTERIOR&gt;</t>
  </si>
  <si>
    <t>a Pagar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</si>
  <si>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</si>
  <si>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</si>
  <si>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</si>
  <si>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</si>
  <si>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</si>
  <si>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</si>
  <si>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</si>
  <si>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</si>
  <si>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</si>
  <si>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</si>
  <si>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</si>
  <si>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</si>
  <si>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</si>
  <si>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</si>
  <si>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</si>
  <si>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</si>
  <si>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</si>
  <si>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</si>
  <si>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</si>
  <si>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</si>
  <si>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</si>
  <si>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</si>
  <si>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</si>
  <si>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</si>
  <si>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</si>
  <si>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</si>
  <si>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</si>
  <si>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</si>
  <si>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SUBTOTAL COM REFINANCIAMENTO (V) = (III + IV)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</si>
  <si>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</si>
  <si>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</si>
  <si>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</si>
  <si>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</si>
  <si>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</si>
  <si>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</si>
  <si>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</si>
  <si>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</si>
  <si>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</si>
  <si>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</si>
  <si>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RECEITAS E DESPESAS DOS REGIMES DE PREVIDÊNCIA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</si>
  <si>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</si>
  <si>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</si>
  <si>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</si>
  <si>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</si>
  <si>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</si>
  <si>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</si>
  <si>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</si>
  <si>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</si>
  <si>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</si>
  <si>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</si>
  <si>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</si>
  <si>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</si>
  <si>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</si>
  <si>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</si>
  <si>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</si>
  <si>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</si>
  <si>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</si>
  <si>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</si>
  <si>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</si>
  <si>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RESTOS A PAGAR (EXCETO INTRA-ORÇAMENTÁRIOS) (I)</t>
  </si>
  <si>
    <t>RESTOS A PAGAR (INTRA-ORÇAMENTÁRIOS) (II)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</si>
  <si>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</si>
  <si>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</si>
  <si>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</si>
  <si>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</si>
  <si>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</si>
  <si>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</si>
  <si>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</si>
  <si>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</si>
  <si>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</si>
  <si>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</si>
  <si>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</si>
  <si>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</si>
  <si>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</si>
  <si>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</si>
  <si>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</si>
  <si>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</si>
  <si>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</si>
  <si>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</si>
  <si>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</si>
  <si>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</si>
  <si>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</si>
  <si>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</si>
  <si>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</si>
  <si>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</si>
  <si>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</si>
  <si>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</si>
  <si>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</si>
  <si>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</si>
  <si>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</si>
  <si>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</si>
  <si>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</si>
  <si>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</si>
  <si>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</si>
  <si>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</si>
  <si>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</si>
  <si>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</si>
  <si>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</si>
  <si>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</si>
  <si>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</si>
  <si>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</si>
  <si>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</si>
  <si>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</si>
  <si>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</si>
  <si>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</si>
  <si>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</si>
  <si>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</si>
  <si>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</si>
  <si>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</si>
  <si>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</si>
  <si>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</si>
  <si>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</si>
  <si>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(ÚLTIMOS</t>
  </si>
  <si>
    <t>12 MESES)</t>
  </si>
  <si>
    <t>&lt;EXERCÍCIO&gt;</t>
  </si>
  <si>
    <t>RECEITAS CORRENTES (I)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</si>
  <si>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</si>
  <si>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</si>
  <si>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</si>
  <si>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</si>
  <si>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</si>
  <si>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</si>
  <si>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</si>
  <si>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</si>
  <si>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</si>
  <si>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</si>
  <si>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</si>
  <si>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</si>
  <si>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</si>
  <si>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</si>
  <si>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</si>
  <si>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</si>
  <si>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</si>
  <si>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 xml:space="preserve">
ESPECIFICAÇÃO</t>
  </si>
  <si>
    <t>REGISTROS EFETUADOS EM &lt;EXERCÍCIO&gt;</t>
  </si>
  <si>
    <t>TOTAL DE ATIVOS</t>
  </si>
  <si>
    <t xml:space="preserve">    Provisões de PPP</t>
  </si>
  <si>
    <t>DESPESAS DE PPP</t>
  </si>
  <si>
    <t>DEMONSTRATIVO DAS PARCERIAS PÚBLICO-PRIVADAS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</si>
  <si>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</si>
  <si>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</si>
  <si>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</si>
  <si>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</si>
  <si>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</si>
  <si>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</si>
  <si>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</si>
  <si>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</si>
  <si>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</si>
  <si>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</si>
  <si>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</si>
  <si>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</si>
  <si>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>DEMONSTRATIVO DOS RESTOS A PAGAR POR PODER E ÓRGÃO</t>
  </si>
  <si>
    <t>Inscritos</t>
  </si>
  <si>
    <t>PODER/ÓRGÃO</t>
  </si>
  <si>
    <t>Cancelados</t>
  </si>
  <si>
    <t>Pagos</t>
  </si>
  <si>
    <t>Anteriores</t>
  </si>
  <si>
    <t>&lt;Exercício</t>
  </si>
  <si>
    <t>Anterior&gt;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</si>
  <si>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</si>
  <si>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</si>
  <si>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</si>
  <si>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</si>
  <si>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</si>
  <si>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</si>
  <si>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</si>
  <si>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</si>
  <si>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</si>
  <si>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</si>
  <si>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</si>
  <si>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</si>
  <si>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</si>
  <si>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</si>
  <si>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</si>
  <si>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</si>
  <si>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</si>
  <si>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</si>
  <si>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</si>
  <si>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</si>
  <si>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</si>
  <si>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</si>
  <si>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</si>
  <si>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>DEMONSTRATIVO DAS RECEITAS E DESPESAS COM MANUTENÇÃO E DESENVOLVIMENTO DO ENSINO - MDE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</si>
  <si>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</si>
  <si>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</si>
  <si>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</si>
  <si>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</si>
  <si>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</si>
  <si>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</si>
  <si>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</si>
  <si>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</si>
  <si>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</si>
  <si>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</si>
  <si>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</si>
  <si>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</si>
  <si>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</si>
  <si>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Próprio dos Servidores Públicos</t>
  </si>
  <si>
    <t>SALDO ATUAL</t>
  </si>
  <si>
    <t>SALDO FINANCEIRO A APLICAR</t>
  </si>
  <si>
    <t xml:space="preserve">    Inversões Financeiras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</si>
  <si>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</si>
  <si>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</si>
  <si>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</si>
  <si>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</si>
  <si>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</si>
  <si>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</si>
  <si>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</si>
  <si>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</si>
  <si>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</si>
  <si>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</si>
  <si>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</si>
  <si>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</si>
  <si>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</si>
  <si>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</si>
  <si>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</si>
  <si>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</si>
  <si>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</si>
  <si>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</si>
  <si>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</si>
  <si>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</si>
  <si>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</si>
  <si>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RECEITA CORRENTE LÍQUIDA - RCL</t>
  </si>
  <si>
    <t>Receita Corrente Líquida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</si>
  <si>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</si>
  <si>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</si>
  <si>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</si>
  <si>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</si>
  <si>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</si>
  <si>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</si>
  <si>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</si>
  <si>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</si>
  <si>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</si>
  <si>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</si>
  <si>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</si>
  <si>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</si>
  <si>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</si>
  <si>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</si>
  <si>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</si>
  <si>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</si>
  <si>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</si>
  <si>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</si>
  <si>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</si>
  <si>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</si>
  <si>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</si>
  <si>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</si>
  <si>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</si>
  <si>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</si>
  <si>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</si>
  <si>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</si>
  <si>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</si>
  <si>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</si>
  <si>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</si>
  <si>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</si>
  <si>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</si>
  <si>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</si>
  <si>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</si>
  <si>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</si>
  <si>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</si>
  <si>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</si>
  <si>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</si>
  <si>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</si>
  <si>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</si>
  <si>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</si>
  <si>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</si>
  <si>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</si>
  <si>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</si>
  <si>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</si>
  <si>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</si>
  <si>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</si>
  <si>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</si>
  <si>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</si>
  <si>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</si>
  <si>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</si>
  <si>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</si>
  <si>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</si>
  <si>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</si>
  <si>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</si>
  <si>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</si>
  <si>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</si>
  <si>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</si>
  <si>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</si>
  <si>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</si>
  <si>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</si>
  <si>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</si>
  <si>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</si>
  <si>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</si>
  <si>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</si>
  <si>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</si>
  <si>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</si>
  <si>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</si>
  <si>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</si>
  <si>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</si>
  <si>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</si>
  <si>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</si>
  <si>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</si>
  <si>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</si>
  <si>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</si>
  <si>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</si>
  <si>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</si>
  <si>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</si>
  <si>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</si>
  <si>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</si>
  <si>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</si>
  <si>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</si>
  <si>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</si>
  <si>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</si>
  <si>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</si>
  <si>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>RECEITA RESULTANTE DE IMPOSTOS (caput do art. 212 da Constituição)</t>
  </si>
  <si>
    <t xml:space="preserve">2- RECEITA DE TRANSFERÊNCIAS CONSTITUCIONAIS E LEGAIS 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</si>
  <si>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</si>
  <si>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</si>
  <si>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</si>
  <si>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</si>
  <si>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</si>
  <si>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</si>
  <si>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</si>
  <si>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</si>
  <si>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</si>
  <si>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</si>
  <si>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</si>
  <si>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</si>
  <si>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(i)</t>
  </si>
  <si>
    <t>RREO - Anexo 1 (LRF, Art. 52, inciso I, alíneas "a" e "b" do inciso II e §1º)</t>
  </si>
  <si>
    <t>RECEITAS (EXCETO INTRA-ORÇAMENTÁRIAS) (I)</t>
  </si>
  <si>
    <t>OPERAÇÕES DE CRÉDITO / REFINANCIAMENTO  (IV)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</si>
  <si>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</si>
  <si>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</si>
  <si>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</si>
  <si>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</si>
  <si>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7 - Demonstrativo dos Restos a Pagar por Poder e Órgão</t>
  </si>
  <si>
    <t>RREO - ANEXO 7 (LRF, art. 53, inciso 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</si>
  <si>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</si>
  <si>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</si>
  <si>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</si>
  <si>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</si>
  <si>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</si>
  <si>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</si>
  <si>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</si>
  <si>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</si>
  <si>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</si>
  <si>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</si>
  <si>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DESPESAS COM SAÚDE NÃO COMPUTADAS PARA FINS DE APURAÇÃO DO PERCENTUAL MÍNIMO</t>
  </si>
  <si>
    <t>Inscritos em &lt;Exercício de Referência&gt;</t>
  </si>
  <si>
    <t>(m)</t>
  </si>
  <si>
    <t>DEMONSTRATIVO DAS RECEITAS E DESPESAS COM AÇÕES E SERVIÇOS PÚBLICOS DE SAÚDE</t>
  </si>
  <si>
    <t>RECEITAS PARA APURAÇÃO DA APLICAÇÃO EM AÇÕES E SERVIÇOS PÚBLICOS DE SAÚDE</t>
  </si>
  <si>
    <t xml:space="preserve">   Provenientes da União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</si>
  <si>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</si>
  <si>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</si>
  <si>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</si>
  <si>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</si>
  <si>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</si>
  <si>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</si>
  <si>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</si>
  <si>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</si>
  <si>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</si>
  <si>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</si>
  <si>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</si>
  <si>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</si>
  <si>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</si>
  <si>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</si>
  <si>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</si>
  <si>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</si>
  <si>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</si>
  <si>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</si>
  <si>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</si>
  <si>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</si>
  <si>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</si>
  <si>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</si>
  <si>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</si>
  <si>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</si>
  <si>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</si>
  <si>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</si>
  <si>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</si>
  <si>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</si>
  <si>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</si>
  <si>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</si>
  <si>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</si>
  <si>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</si>
  <si>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</si>
  <si>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</si>
  <si>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</si>
  <si>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</si>
  <si>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</si>
  <si>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</si>
  <si>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</si>
  <si>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</si>
  <si>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</si>
  <si>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</si>
  <si>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</si>
  <si>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</si>
  <si>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</si>
  <si>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</si>
  <si>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</si>
  <si>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</si>
  <si>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</si>
  <si>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</si>
  <si>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</si>
  <si>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</si>
  <si>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</si>
  <si>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</si>
  <si>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</si>
  <si>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</si>
  <si>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</si>
  <si>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</si>
  <si>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</si>
  <si>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</si>
  <si>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</si>
  <si>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</si>
  <si>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</si>
  <si>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</si>
  <si>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</si>
  <si>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</si>
  <si>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</si>
  <si>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</si>
  <si>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</si>
  <si>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</si>
  <si>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</si>
  <si>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</si>
  <si>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</si>
  <si>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</si>
  <si>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</si>
  <si>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</si>
  <si>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</si>
  <si>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</si>
  <si>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</si>
  <si>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</si>
  <si>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</si>
  <si>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</si>
  <si>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</si>
  <si>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</si>
  <si>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</si>
  <si>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</si>
  <si>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</si>
  <si>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</si>
  <si>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</si>
  <si>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</si>
  <si>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</si>
  <si>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</si>
  <si>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</si>
  <si>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</si>
  <si>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</si>
  <si>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</si>
  <si>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</si>
  <si>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</si>
  <si>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</si>
  <si>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</si>
  <si>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</si>
  <si>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</si>
  <si>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</si>
  <si>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</si>
  <si>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</si>
  <si>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</si>
  <si>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</si>
  <si>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</si>
  <si>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</si>
  <si>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</si>
  <si>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</si>
  <si>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</si>
  <si>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RECEITAS DE ALIENAÇÃO DE ATIVOS (I)</t>
  </si>
  <si>
    <t>PREVISÃO INICIAL</t>
  </si>
  <si>
    <t>1 Essa coluna poderá ser apresentada somente no último bimestre</t>
  </si>
  <si>
    <t>Saldo</t>
  </si>
  <si>
    <t>Liquidados</t>
  </si>
  <si>
    <t xml:space="preserve">DOTAÇÃO </t>
  </si>
  <si>
    <t xml:space="preserve">DESPESAS </t>
  </si>
  <si>
    <t>EMPENHADAS</t>
  </si>
  <si>
    <t>(f) = (d – e)</t>
  </si>
  <si>
    <t>Despesas com Ações e Serviços Públicos de Saúde executadas com recursos de impostos</t>
  </si>
  <si>
    <t xml:space="preserve"> Em &lt;Exercício&gt;</t>
  </si>
  <si>
    <t>Em &lt;Exercício Anterior&gt;</t>
  </si>
  <si>
    <t>APORTES REALIZADOS</t>
  </si>
  <si>
    <t>DEDUÇÕES PARA FINS DO LIMITE DO FUNDEB</t>
  </si>
  <si>
    <t>INDICADORES DO FUNDEB</t>
  </si>
  <si>
    <t>FLUXO FINANCEIRO DOS RECURSOS DO FUNDEB</t>
  </si>
  <si>
    <t>Inscritos em &lt;Exercício de Referência - 4&gt;</t>
  </si>
  <si>
    <t>RECEITA DE TRANSFERÊNCIAS CONSTITUCIONAIS E LEGAIS (II)</t>
  </si>
  <si>
    <t>(h) = (g/d)x100</t>
  </si>
  <si>
    <t>Saldo Total (a+b)</t>
  </si>
  <si>
    <t>3- TOTAL DA RECEITA DE IMPOSTOS (1 + 2)</t>
  </si>
  <si>
    <t>PODER EXECUTIVO</t>
  </si>
  <si>
    <t>RESTOS A PAGAR PROCESSADOS E NÃO PROCESSADOS LIQUIDADOS EM EXERCÍCIOS ANTERIORES</t>
  </si>
  <si>
    <t>PODER LEGISLATIVO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</si>
  <si>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</si>
  <si>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</si>
  <si>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</si>
  <si>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</si>
  <si>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OUTRAS DESPESAS CUSTEADAS COM RECEITAS ADICIONAIS PARA FINANCIAMENTO DO ENSINO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</si>
  <si>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</si>
  <si>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20 – RECURSOS RECEBIDOS DO FUNDEB EM &lt;EXERCÍCIO ANTERIOR&gt; QUE NÃO FORAM UTILIZADOS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</si>
  <si>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</si>
  <si>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</si>
  <si>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</si>
  <si>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</si>
  <si>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</si>
  <si>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</si>
  <si>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</si>
  <si>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</si>
  <si>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</si>
  <si>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</si>
  <si>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</si>
  <si>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</si>
  <si>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</si>
  <si>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</si>
  <si>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</si>
  <si>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</si>
  <si>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</si>
  <si>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</si>
  <si>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</si>
  <si>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</si>
  <si>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</si>
  <si>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</si>
  <si>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</si>
  <si>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</si>
  <si>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</si>
  <si>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</si>
  <si>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</si>
  <si>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</si>
  <si>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</si>
  <si>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</si>
  <si>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</si>
  <si>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</si>
  <si>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</si>
  <si>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</si>
  <si>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</si>
  <si>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</si>
  <si>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</si>
  <si>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</si>
  <si>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</si>
  <si>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</si>
  <si>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</si>
  <si>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</si>
  <si>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</si>
  <si>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</si>
  <si>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</si>
  <si>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</si>
  <si>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</si>
  <si>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</si>
  <si>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</si>
  <si>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</si>
  <si>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</si>
  <si>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</si>
  <si>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1.3.1- ISS</t>
  </si>
  <si>
    <t xml:space="preserve">    1.3- Receita Resultante do Imposto sobre Serviços de Qualquer Natureza – ISS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</si>
  <si>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</si>
  <si>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</si>
  <si>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</si>
  <si>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</si>
  <si>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</si>
  <si>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</si>
  <si>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</si>
  <si>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</si>
  <si>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</si>
  <si>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</si>
  <si>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</si>
  <si>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Provenientes dos Estados</t>
  </si>
  <si>
    <t xml:space="preserve">   Provenientes de Outros Municípios</t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</si>
  <si>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</si>
  <si>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</si>
  <si>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</si>
  <si>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</si>
  <si>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</si>
  <si>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</si>
  <si>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</si>
  <si>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DÉFICIT (VII)</t>
  </si>
  <si>
    <t>TOTAL (VIII) = (V + VI + VII)</t>
  </si>
  <si>
    <t>DESPESAS (EXCETO INTRA-ORÇAMENTÁRIAS) (IX)</t>
  </si>
  <si>
    <t>DESPESAS (INTRA-ORÇAMENTÁRIAS) (X)</t>
  </si>
  <si>
    <t>SUBTOTAL DAS DESPESAS (XI) = (IX + X)</t>
  </si>
  <si>
    <t>AMORTIZAÇÃO DA DÍV. / REFINANCIAMENTO (XII)</t>
  </si>
  <si>
    <t>SUBTOTAL C/ REFINANCIAMENTO (XIII) = (XI + XII)</t>
  </si>
  <si>
    <t>SUPERÁVIT (XIV)</t>
  </si>
  <si>
    <t>TOTAL (XV) = (XIII + XIV)</t>
  </si>
  <si>
    <t>RECEITAS INTRA-ORÇAMENTÁRIAS</t>
  </si>
  <si>
    <t>DESPESAS INTRA-ORÇAMENTÁRIAS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</si>
  <si>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</si>
  <si>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</si>
  <si>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</si>
  <si>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(g) = (e-f) </t>
  </si>
  <si>
    <t>(i) = (e-h)</t>
  </si>
  <si>
    <t>(g) = (e-f)</t>
  </si>
  <si>
    <t>INSCRITAS EM RESTOS A PAGAR NÃO PROCESSADOS                          (k)</t>
  </si>
  <si>
    <t>(e) = (a-d)</t>
  </si>
  <si>
    <t>(d/total d)</t>
  </si>
  <si>
    <t xml:space="preserve">  Despesas Pagas</t>
  </si>
  <si>
    <t>Pagamento</t>
  </si>
  <si>
    <t>PAGAMENTO</t>
  </si>
  <si>
    <t>DE RESTOS A PAGAR</t>
  </si>
  <si>
    <t>PAGAS</t>
  </si>
  <si>
    <t>DESPESAS                                                    (e)</t>
  </si>
  <si>
    <t xml:space="preserve">    Demais Haveres Financeiros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</si>
  <si>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</si>
  <si>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</si>
  <si>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</si>
  <si>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</si>
  <si>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 xml:space="preserve">    Investimentos</t>
  </si>
  <si>
    <t>Tabela 6 - Demonstrativo do Resultado Primário</t>
  </si>
  <si>
    <t>RREO - ANEXO 6 (LRF, art 53, inciso III)</t>
  </si>
  <si>
    <t>Em reais</t>
  </si>
  <si>
    <t>RECEITAS PRIMÁRIAS</t>
  </si>
  <si>
    <t>DESPESAS PRIMÁRIAS</t>
  </si>
  <si>
    <t xml:space="preserve">        Demais Inversões Financeiras</t>
  </si>
  <si>
    <t>DESPESA PRIMÁRIA TOTAL (XVIII) = (X + XV + XVI + XVII)</t>
  </si>
  <si>
    <t xml:space="preserve">RESULTADO PRIMÁRIO (XIX) = (VII - XVIII) 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</si>
  <si>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</si>
  <si>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</si>
  <si>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</si>
  <si>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</si>
  <si>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</si>
  <si>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</si>
  <si>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</si>
  <si>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</si>
  <si>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</si>
  <si>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</si>
  <si>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</si>
  <si>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 xml:space="preserve">        2.1.3- Parcela referente à CF, art. 159, I, alínea e</t>
  </si>
  <si>
    <t>Educação Básica</t>
  </si>
  <si>
    <t xml:space="preserve">Em </t>
  </si>
  <si>
    <t xml:space="preserve"> Em</t>
  </si>
  <si>
    <t xml:space="preserve"> &lt;Exercício&gt;</t>
  </si>
  <si>
    <t>Em 31 de dezembro de &lt;Exercício Anterior&gt;</t>
  </si>
  <si>
    <t>Em Exercícios Anteriores</t>
  </si>
  <si>
    <t xml:space="preserve">        Câmara Municipal </t>
  </si>
  <si>
    <t xml:space="preserve">        Tribunal de Contas do Município </t>
  </si>
  <si>
    <t>DO EXERCÍCIO</t>
  </si>
  <si>
    <t>DESPESAS INSCRITAS EM RESTOS A PAGAR NÃO PROCESSADOS</t>
  </si>
  <si>
    <t>Inscritos em &lt;Exercício de Referência - 1&gt;</t>
  </si>
  <si>
    <t>Inscritos em &lt;Exercício de Referência - 2&gt;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</si>
  <si>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</si>
  <si>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t>Notas: 1 Projeção atuarial elaborada em &lt;DATA DA AVALIAÇÃO&gt; e oficialmente enviada para o Ministério da Previdência Social – MPS.</t>
  </si>
  <si>
    <t>CANCELADO  (j)</t>
  </si>
  <si>
    <t>Promoção da Produção Agropecuária</t>
  </si>
  <si>
    <t>Defesa Agropecuária</t>
  </si>
  <si>
    <t>PODER/ÓRGÃO - INTRA</t>
  </si>
  <si>
    <t xml:space="preserve">    SALDOS DE EXERCÍCIOS ANTERIORES</t>
  </si>
  <si>
    <t xml:space="preserve">        Recursos Arrecadados em Exercícios Anteriores - RPPS</t>
  </si>
  <si>
    <t>RESERVA DO RPPS</t>
  </si>
  <si>
    <t xml:space="preserve">        Receita de Contribuições Patronais</t>
  </si>
  <si>
    <t xml:space="preserve">    RECEITAS CORRENTES (I)</t>
  </si>
  <si>
    <t>DEMONSTRATIVO DAS RECEITAS E DESPESAS PREVIDENCIÁRIAS DO REGIME PRÓPRIO DE PREVIDÊNCIA DOS SERVIDORES</t>
  </si>
  <si>
    <t>RECEITAS - PLANO FINANCEIRO</t>
  </si>
  <si>
    <t xml:space="preserve">        Benefícios - Civil</t>
  </si>
  <si>
    <t xml:space="preserve">        Benefícios - Militar</t>
  </si>
  <si>
    <t>DESPESAS - PLANO FINANCEIRO</t>
  </si>
  <si>
    <t xml:space="preserve">        VALOR</t>
  </si>
  <si>
    <t>RECEITAS - PLANO PREVIDENCIÁRIO</t>
  </si>
  <si>
    <t>DESPESAS - PLANO PREVIDENCIÁRIO</t>
  </si>
  <si>
    <t>RECURSOS ARRECADADOS EM EXERCÍCIOS ANTERIORES - PLANO PREVIDENCIÁRIO</t>
  </si>
  <si>
    <t>RESERVA ORÇAMENTÁRIA DO RPPS - PLANO PREVIDENCIÁRIO</t>
  </si>
  <si>
    <t xml:space="preserve">  Plano de Amortização - Contribuição Patronal Suplementar </t>
  </si>
  <si>
    <t xml:space="preserve">  Plano de Amortização - Aporte Periódico de Valores Predefinidos </t>
  </si>
  <si>
    <t xml:space="preserve">  Outros Aportes para o RPPS </t>
  </si>
  <si>
    <t xml:space="preserve">  Recursos para Cobertura de Déficit Financeiro </t>
  </si>
  <si>
    <t>APORTES DE RECURSOS PARA O RPPS - PLANO PREVIDENCIÁRIO</t>
  </si>
  <si>
    <t>BENS E DIREITOS DO RPPS - PLANO PREVIDENCIÁRIO</t>
  </si>
  <si>
    <t xml:space="preserve">  Recursos para Cobertura de Insuficiências Financeiras </t>
  </si>
  <si>
    <t xml:space="preserve">  Recursos para Formação de Reserva </t>
  </si>
  <si>
    <t>Caixa e Equivalente de Caixa</t>
  </si>
  <si>
    <t>Investimentos e Aplicações</t>
  </si>
  <si>
    <t>Outros Bens e Direitos</t>
  </si>
  <si>
    <t>APORTES DE RECURSOS PARA O RPPS - PLANO FINANCEIRO</t>
  </si>
  <si>
    <t xml:space="preserve">    Disponibilidade de Caixa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</si>
  <si>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</si>
  <si>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</si>
  <si>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</si>
  <si>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Outros Passivos</t>
  </si>
  <si>
    <t>ATOS POTENCIAIS PASSIVOS</t>
  </si>
  <si>
    <t xml:space="preserve">    Obrigações Contratuais</t>
  </si>
  <si>
    <t xml:space="preserve">        Defensoria Pública</t>
  </si>
  <si>
    <t>Tabela 4 - Demonstrativo das Receitas e Despesas Previdenciárias do Regime Próprio de Previdência dos Servidores</t>
  </si>
  <si>
    <t xml:space="preserve">       IMPOSTOS, TAXAS E CONTRIBUIÇÕES DE MELHORIA</t>
  </si>
  <si>
    <t xml:space="preserve">        CONTRIBUIÇÕES</t>
  </si>
  <si>
    <t xml:space="preserve">            Contribuições Econômicas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</si>
  <si>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</si>
  <si>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</si>
  <si>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</si>
  <si>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</si>
  <si>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Cessão de Direitos</t>
  </si>
  <si>
    <t xml:space="preserve">           Demais Receitas Patrimoniais</t>
  </si>
  <si>
    <t xml:space="preserve">            Serviços Administrativos e Comerciais Gerais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</si>
  <si>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</si>
  <si>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</si>
  <si>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</si>
  <si>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Transferências da União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</si>
  <si>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</si>
  <si>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</si>
  <si>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Multas Administrativas, Contratuais e Judiciais</t>
  </si>
  <si>
    <t xml:space="preserve">            Indenizações, Restituições e Ressarcimentos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</si>
  <si>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</si>
  <si>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</si>
  <si>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</si>
  <si>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Transferências da União e de suas Entidades</t>
  </si>
  <si>
    <t xml:space="preserve">            Remuneração das Disponibilidades do Tesouro</t>
  </si>
  <si>
    <t xml:space="preserve">            Resgate de Títulos do Tesouro</t>
  </si>
  <si>
    <t xml:space="preserve">           Demais Receitas de Capital       </t>
  </si>
  <si>
    <t xml:space="preserve">            Contribuições para Entidades Privadas de Serviço Social
           └ e de Formação Profissional</t>
  </si>
  <si>
    <t xml:space="preserve">            Contribuição para o Custeio do Serviço de Iluminação
           └ Pública</t>
  </si>
  <si>
    <t xml:space="preserve">           Delegação de Serviços Públicos Mediante Concessão,
           └ Permissão, Autorização ou Licença</t>
  </si>
  <si>
    <t xml:space="preserve">            Serviços e Atividades Referentes à Navegação e ao
           └ Transporte</t>
  </si>
  <si>
    <t xml:space="preserve">            Transferências dos Estados e do Distrito Federal e de
           └ suas Entidades</t>
  </si>
  <si>
    <t xml:space="preserve">             Transferências Provenientes de Depósitos Não 
           └ Identificados</t>
  </si>
  <si>
    <t xml:space="preserve">            Transferências Provenientes de Depósitos Não 
           └ Identificados</t>
  </si>
  <si>
    <t xml:space="preserve">        IMPOSTOS, TAXAS E CONTRIBUIÇÕES DE MELHORIA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</si>
  <si>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</si>
  <si>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</si>
  <si>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</si>
  <si>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</si>
  <si>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 xml:space="preserve">            Contribuição para o Custeio do Serviço de Iluminação 
           └ Pública</t>
  </si>
  <si>
    <t xml:space="preserve">            Delegação de Serviços Públicos Mediante Concessão, 
           └ Permissão, Autorização ou Licença</t>
  </si>
  <si>
    <t xml:space="preserve">            Serviços e Atividades Referentes à Navegação e ao 
           └ Transporte</t>
  </si>
  <si>
    <t xml:space="preserve">            Transferências da União e de 
           └ suas Entidades</t>
  </si>
  <si>
    <t xml:space="preserve">            Transferências dos Estados e do Distrito Federal e de 
           └ suas Entidades</t>
  </si>
  <si>
    <t xml:space="preserve">            Bens, Direitos e Valores Incorporados ao Patrimônio 
           └ Público</t>
  </si>
  <si>
    <t xml:space="preserve">           Transferências dos Estados e do Distrito Federal e de suas 
           └ Entidades</t>
  </si>
  <si>
    <t xml:space="preserve">            Transferências Provenientes de Depósitos Não
           └ Identificados</t>
  </si>
  <si>
    <t xml:space="preserve">        Rendimentos de Aplicação Financeira </t>
  </si>
  <si>
    <t xml:space="preserve">        Outras Receitas Patrimoniais </t>
  </si>
  <si>
    <t xml:space="preserve">   Impostos, Taxas e Contribuições de Melhoria </t>
  </si>
  <si>
    <t xml:space="preserve">         Outros Impostos, Taxas e Contribuições de Melhoria </t>
  </si>
  <si>
    <t xml:space="preserve">    Impostos, Taxas e Contribuições de Melhoria </t>
  </si>
  <si>
    <t xml:space="preserve">    Contribuições </t>
  </si>
  <si>
    <t xml:space="preserve">    Receita Patrimonial </t>
  </si>
  <si>
    <t xml:space="preserve">    Transferências Correntes </t>
  </si>
  <si>
    <t xml:space="preserve">    Demais Receitas Correntes </t>
  </si>
  <si>
    <t xml:space="preserve">    Operações de Crédito (VI) </t>
  </si>
  <si>
    <t xml:space="preserve">    Amortização de Empréstimos (VII) </t>
  </si>
  <si>
    <t xml:space="preserve">    Alienação de Bens </t>
  </si>
  <si>
    <t xml:space="preserve">    Transferências de Capital </t>
  </si>
  <si>
    <t xml:space="preserve">    Outras Receitas de Capital </t>
  </si>
  <si>
    <t xml:space="preserve">RECEITAS CORRENTES (I) </t>
  </si>
  <si>
    <t xml:space="preserve">          ISS </t>
  </si>
  <si>
    <t xml:space="preserve">          ITBI </t>
  </si>
  <si>
    <t xml:space="preserve">          IRRF </t>
  </si>
  <si>
    <t xml:space="preserve">  IPTU </t>
  </si>
  <si>
    <t xml:space="preserve">        Aplicações Financeiras (II) </t>
  </si>
  <si>
    <t xml:space="preserve">        Cota-Parte do FPM </t>
  </si>
  <si>
    <t xml:space="preserve">        Cota-Parte do ICMS</t>
  </si>
  <si>
    <t xml:space="preserve">        Cota-Parte do IPVA </t>
  </si>
  <si>
    <t xml:space="preserve">        Cota-Parte do ITR </t>
  </si>
  <si>
    <t xml:space="preserve">        Transferências da LC 87/1996 </t>
  </si>
  <si>
    <t xml:space="preserve">        Transferências da LC nº 61/1989 </t>
  </si>
  <si>
    <t xml:space="preserve">        Transferências do FUNDEB </t>
  </si>
  <si>
    <t xml:space="preserve">        Outras Transferências Correntes </t>
  </si>
  <si>
    <t xml:space="preserve">        Outras Receitas Financeiras (III) </t>
  </si>
  <si>
    <t xml:space="preserve">        Receitas Correntes Restantes </t>
  </si>
  <si>
    <t xml:space="preserve">RECEITAS PRIMÁRIAS CORRENTES (IV) = (I - II - III) </t>
  </si>
  <si>
    <t xml:space="preserve">RECEITAS DE CAPITAL (V) </t>
  </si>
  <si>
    <t xml:space="preserve">        Convênios </t>
  </si>
  <si>
    <t xml:space="preserve">        Outras Transferências de Capital </t>
  </si>
  <si>
    <t xml:space="preserve">        Outras Alienações de Bens </t>
  </si>
  <si>
    <t xml:space="preserve">        Receitas de Alienação de Investimentos Permanentes (IX) </t>
  </si>
  <si>
    <t xml:space="preserve">        Receitas de Alienação de Investimentos Temporários (VIII) </t>
  </si>
  <si>
    <t xml:space="preserve">        Outras Receitas de Capital Não Primárias (X) </t>
  </si>
  <si>
    <t xml:space="preserve">        Outras Receitas de Capital Primárias </t>
  </si>
  <si>
    <t xml:space="preserve">RECEITAS PRIMÁRIAS DE CAPITAL (XI) = (V - VI - VII - VIII - IX - X) </t>
  </si>
  <si>
    <t xml:space="preserve">RECEITA PRIMÁRIA TOTAL (XII) = (IV + XI) </t>
  </si>
  <si>
    <t xml:space="preserve">RESULTADO PRIMÁRIO - Acima da Linha (XXIV) = (XIIa - (XXIIIa  +     XXIIIb +  XXIIIc)) 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</si>
  <si>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</si>
  <si>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</si>
  <si>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</si>
  <si>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</si>
  <si>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</si>
  <si>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</si>
  <si>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Meta fixada no Anexo de Metas Fiscais da LDO para o exercício de referência</t>
  </si>
  <si>
    <t>ABAIXO DA LINHA</t>
  </si>
  <si>
    <t>CÁLCULO DO RESULTADO NOMINAL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</si>
  <si>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</si>
  <si>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</si>
  <si>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</si>
  <si>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</si>
  <si>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</si>
  <si>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</si>
  <si>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</si>
  <si>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</si>
  <si>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</si>
  <si>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</si>
  <si>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</si>
  <si>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RESERVA ORÇAMENTÁRIA DO RPPS</t>
  </si>
  <si>
    <t>RESULTADO PRIMÁRIO CONFORME MODELO DA 7ª EDIÇÃO DO MDF</t>
  </si>
  <si>
    <t>RECEITA PRIMÁRIA TOTAL  (VII) = (I + VI)</t>
  </si>
  <si>
    <t>DISCRIMINAÇÃO DA META FISCAL DE RESULTADO PRIMÁRIO</t>
  </si>
  <si>
    <t>RESULTADO NOMINAL CONFORME MODELO DA 7ª EDIÇÃO DO MDF</t>
  </si>
  <si>
    <t>DISCRIMINAÇÃO DA META FISCAL DE RESULTADO NOMINAL</t>
  </si>
  <si>
    <t>Em 31/Dez Exercício Anterior</t>
  </si>
  <si>
    <t>DOTAÇÃO 
ATUALIZADA</t>
  </si>
  <si>
    <t>DESPESAS 
EMPENHADAS</t>
  </si>
  <si>
    <t>RESTOS A PAGAR 
NÃO PROCESSADOS</t>
  </si>
  <si>
    <t>LIQUIDADOS</t>
  </si>
  <si>
    <t xml:space="preserve">PAGOS                     (c) </t>
  </si>
  <si>
    <t>DESPESAS 
PAGAS                     (a)</t>
  </si>
  <si>
    <t>RESTOS A PAGAR 
PROCESSADOS PAGOS                     (b)</t>
  </si>
  <si>
    <t>DESPESA PRIMÁRIA TOTAL (XXIII) = (XV + XXI + XXII)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</si>
  <si>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</si>
  <si>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</si>
  <si>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</si>
  <si>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</si>
  <si>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</si>
  <si>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</si>
  <si>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</si>
  <si>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</si>
  <si>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</si>
  <si>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</si>
  <si>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 xml:space="preserve">    Riscos não Provisionados </t>
  </si>
  <si>
    <t xml:space="preserve">    Garantias Concedidas </t>
  </si>
  <si>
    <t xml:space="preserve">    Outros Passivos Contingentes </t>
  </si>
  <si>
    <t xml:space="preserve">          Outros Impostos, Taxas e Contribuições de Melhoria </t>
  </si>
  <si>
    <t xml:space="preserve">DESPESAS PAGAS </t>
  </si>
  <si>
    <t>INSCRITAS EM RESTOS A PAGAR NÃO PROCESSADOS (f)</t>
  </si>
  <si>
    <r>
      <t>INSCRITAS EM RESTOS A PAGAR NÃO PROCESSADOS</t>
    </r>
    <r>
      <rPr>
        <b/>
        <sz val="10"/>
        <rFont val="Times New Roman"/>
        <family val="1"/>
      </rPr>
      <t xml:space="preserve"> (f)</t>
    </r>
  </si>
  <si>
    <t>% Aplicado</t>
  </si>
  <si>
    <t>PLANO PREVIDÊNCIARIO</t>
  </si>
  <si>
    <t>PLANO FINANCEIRO</t>
  </si>
  <si>
    <t xml:space="preserve">        1.1.2- Multas, Juros de Mora, Dívida Ativa e Outros Encargos do IPTU</t>
  </si>
  <si>
    <t xml:space="preserve">        1.2.2- Multas, Juros de Mora, Dívida Ativa e Outros Encargos do ITBI</t>
  </si>
  <si>
    <t xml:space="preserve">        1.3.2- Multas, Juros de Mora, Dívida Ativa e Outros Encargos do ISS</t>
  </si>
  <si>
    <t xml:space="preserve">    1.4- Receita Resultante do Imposto de Renda Retido na Fonte – IRRF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</si>
  <si>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</si>
  <si>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</si>
  <si>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</si>
  <si>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</si>
  <si>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</si>
  <si>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</si>
  <si>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</si>
  <si>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</si>
  <si>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</si>
  <si>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</si>
  <si>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</si>
  <si>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</si>
  <si>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</si>
  <si>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</si>
  <si>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</si>
  <si>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29- RESULTADO LÍQUIDO DAS TRANSFERÊNCIAS DO FUNDEB = (12)</t>
  </si>
  <si>
    <t>30- DESPESAS CUSTEADAS COM A COMPLEMENTAÇÃO DO FUNDEB NO EXERCÍCIO</t>
  </si>
  <si>
    <t>SALÁRIO</t>
  </si>
  <si>
    <t>EDUCAÇÃO</t>
  </si>
  <si>
    <t>(-) Incentivos Fiscais a Contribuinte por Instituições Financeiras</t>
  </si>
  <si>
    <t>(h) = (d-e)</t>
  </si>
  <si>
    <t xml:space="preserve">SALDO </t>
  </si>
  <si>
    <t>(j) = (Ib – (IIf+ IIg))</t>
  </si>
  <si>
    <t>(k) = (IIIi + IIIj)</t>
  </si>
  <si>
    <t>Regime Próprio de Previdência dos Servidores - PLANO PREVIDENCIÁRIO</t>
  </si>
  <si>
    <t xml:space="preserve">    Receitas Previdenciárias Realizadas</t>
  </si>
  <si>
    <t xml:space="preserve">    Despesas Previdenciárias Liquidadas</t>
  </si>
  <si>
    <t xml:space="preserve">    Resultado Previdenciário</t>
  </si>
  <si>
    <t>Regime Próprio de Previdência dos Servidores - PLANO FINANCEIRO</t>
  </si>
  <si>
    <t>DEMONSTRATIVO DOS RESULTADOS PRIMÁRIO E NOMINAL   - ESTADOS, DISTRITO FEDERAL E MUNICÍPIOS</t>
  </si>
  <si>
    <t xml:space="preserve">            Receita de Aporte Periódico de Valores Predefinidos (II)</t>
  </si>
  <si>
    <t xml:space="preserve">    RECEITAS DE CAPITAL (III)</t>
  </si>
  <si>
    <t>TOTAL DAS RECEITAS PREVIDENCIÁRIAS RPPS - (IV) = (I + III - II)</t>
  </si>
  <si>
    <t>SALDO DE EXERCÍCIO ANTERIORES</t>
  </si>
  <si>
    <t xml:space="preserve">        Superávit Financeiro Utilizado para Créditos Adicionais</t>
  </si>
  <si>
    <t>VARIAÇÃO CAMBIAL (XXXV)</t>
  </si>
  <si>
    <t>PAGAMENTO DE PRECATÓRIOS INTEGRANTES DA DC (XXXVI)</t>
  </si>
  <si>
    <t xml:space="preserve">    RECURSOS ARRECADADOS EM EXERCÍCIOS ANTERIORES - RPPS</t>
  </si>
  <si>
    <t xml:space="preserve">    SUPERÁVIT FINANCEIRO UTILIZADO PARA ABERTURA E
   └ REABERTURA DE CRÉDITOS ADICIONAIS</t>
  </si>
  <si>
    <t>31- DESPESAS CUSTEADAS COM O SUPERÁVIT FINANCEIRO, DO EXERCÍCIO ANTERIOR, DO FUNDEB</t>
  </si>
  <si>
    <t>32- DESPESAS CUSTEADAS COM O SUPERÁVIT FINANCEIRO, DO EXERCÍCIO ANTERIOR, DE OUTROS RECURSOS DE IMPOSTOS</t>
  </si>
  <si>
    <t>33- RESTOS A PAGAR INSCRITOS NO EXERCÍCIO SEM DISPONIBILIDADE FINANCEIRA DE RECURSOS DE IMPOSTOS VINCULADOS AO ENSINO</t>
  </si>
  <si>
    <t>35- TOTAL DAS DEDUÇÕES CONSIDERADAS PARA FINS DE LIMITE CONSTITUCIONAL (29+30+31+32+33+34)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</si>
  <si>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</si>
  <si>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</si>
  <si>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</si>
  <si>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</si>
  <si>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44- RESTOS A PAGAR DE DESPESAS COM MDE</t>
  </si>
  <si>
    <t xml:space="preserve">   44.1 - Executadas com Recursos de Impostos Vinculados ao Ensino</t>
  </si>
  <si>
    <t xml:space="preserve">   44.2 - Executadas com Recursos do FUNDEB</t>
  </si>
  <si>
    <t>45- SALDO FINANCEIRO EM 31 DE DEZEMBRO DE &lt;EXERCÍCIO ANTERIOR&gt;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</si>
  <si>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</si>
  <si>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</si>
  <si>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</si>
  <si>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</si>
  <si>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</si>
  <si>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</si>
  <si>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</si>
  <si>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</si>
  <si>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</si>
  <si>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</si>
  <si>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</si>
  <si>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</si>
  <si>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36- TOTAL DAS DESPESAS PARA FINS DE LIMITE ((22 + 23) – (35))</t>
  </si>
  <si>
    <t xml:space="preserve">37- PERCENTUAL DE APLICAÇÃO EM MDE SOBRE A RECEITA LÍQUIDA DE IMPOSTOS ((36) / (3) x 100) % - LIMITE CONSTITUCIONAL 25% </t>
  </si>
  <si>
    <t>42- TOTAL DAS OUTRAS DESPESAS CUSTEADAS COM RECEITAS ADICIONAIS PARA FINANCIAMENTO DO ENSINO (38+39 + 40 + 41)</t>
  </si>
  <si>
    <t>43- TOTAL GERAL DAS DESPESAS COM MDE (28 + 42)</t>
  </si>
  <si>
    <t xml:space="preserve">    Receita de Alienação de Bens Intangiveis </t>
  </si>
  <si>
    <t xml:space="preserve">    Receita de Rendimento de Aplicações Financeiras</t>
  </si>
  <si>
    <t>RCL AJUSTADA P/ DESPESA COM PESSOAL (VII) = (V - VI)</t>
  </si>
  <si>
    <t>(-) Emendas de bancada  (art. 166, § 16, da CF) (VI)</t>
  </si>
  <si>
    <t>RCL AJUSTADA P/ ENDIVIDAMENTO  (V) = (III - IV)</t>
  </si>
  <si>
    <t>(-) Emendas individuais (art. 166-A, § 1º, da CF) (IV)</t>
  </si>
  <si>
    <t>RECEITAS DA ADMINISTRAÇÃO DO RPPS</t>
  </si>
  <si>
    <t>DESPESA DA ADMINISTRAÇÃO DO RPPS</t>
  </si>
  <si>
    <t xml:space="preserve">        DESPESAS CORRENTES (XIII)</t>
  </si>
  <si>
    <t xml:space="preserve">        DESPESAS DE CAPITAL (XIV)</t>
  </si>
  <si>
    <t>TOTAL DAS DESPESAS DA ADMINISTRAÇÃO DO RPPS (XV) = (XIII - XIV)</t>
  </si>
  <si>
    <t>RESULTADO DA ADMISNITRAÇÃO DO RPPS (XVI) = (XII – XV)</t>
  </si>
  <si>
    <t>TOTAL DAS DESPESAS PREVIDENCIÁRIAS RPPS (V)</t>
  </si>
  <si>
    <t>RESULTADO PREVIDENCIÁRIO (VI) = (IV - V)</t>
  </si>
  <si>
    <t xml:space="preserve">    RECEITAS CORRENTES (VII)</t>
  </si>
  <si>
    <t>TOTAL DAS RECEITAS PREVIDENCIÁRIAS RPPS - (IX) = (VII + VIII)</t>
  </si>
  <si>
    <t xml:space="preserve">    RECEITAS DE CAPITAL (VIII)</t>
  </si>
  <si>
    <t>TOTAL DAS DESPESAS PREVIDENCIÁRIAS RPPS (X)</t>
  </si>
  <si>
    <t>RESULTADO PREVIDENCIÁRIO (XI) = (IX – X)</t>
  </si>
  <si>
    <t>TOTAL DAS RECEITAS DA ADMINISTRAÇÃO DO RPPS - (XII)</t>
  </si>
  <si>
    <t>AJUSTES RELATIVOS AO RPPS (XXXVII)</t>
  </si>
  <si>
    <t>OUTROS AJUSTES (XXXVIII)</t>
  </si>
  <si>
    <t>RESULTADO NOMINAL AJUSTADO - Abaixo da Linha (XXXIX) = (XXXII - XXXIII - IX + XXXIV + XXXV - XXXVI + XXXVII + XXXVIII )</t>
  </si>
  <si>
    <t>RESULTADO PRIMÁRIO - Abaixo da Linha (XL) =  XXXIX - (XXV - XXVI)</t>
  </si>
  <si>
    <t>Do Ente Federado, exceto estatais não dependentes - Contratadas (I.1)</t>
  </si>
  <si>
    <t>Do Ente Federado, exceto estatais não dependentes  - A contratar (I.2)</t>
  </si>
  <si>
    <t xml:space="preserve">Das Estatais Não-Dependentes - Contratadas (II.1) </t>
  </si>
  <si>
    <t xml:space="preserve">Das Estatais Não-Dependentes - A contratar (II.2) </t>
  </si>
  <si>
    <t>TOTAL DAS DESPESAS DE PPP DO ENTE FEDERADO (I) = (I.1 + I.2)</t>
  </si>
  <si>
    <t>TOTAL DAS DESPESAS DE PPP DAS ESTATAIS NÃO DEPENDENTES (II) = (II.1 + II.2)</t>
  </si>
  <si>
    <t>TOTAL DAS DESPESAS  DE PPP (III) = (I +II)</t>
  </si>
  <si>
    <t>RECEITA CORRENTE LÍQUIDA (RCL) (IV)</t>
  </si>
  <si>
    <t>TOTAL DAS DESPESAS CONSIDERADAS PARA O LIMITE (I)</t>
  </si>
  <si>
    <t>TOTAL DAS DESPESAS CONSIDERADAS PARA O LIMITE / RCL (%) (V) = (I / IV)</t>
  </si>
  <si>
    <t xml:space="preserve">    Despesas Previdenciárias Empenhadas</t>
  </si>
  <si>
    <t>Resultado Nominal - Acima da Linha</t>
  </si>
  <si>
    <t>Resultado Primário - Acima da Linha</t>
  </si>
  <si>
    <t xml:space="preserve">Total das Despesas Consideradas para o Limite / RCL (%) </t>
  </si>
  <si>
    <t xml:space="preserve">    Receitas Previdenciárias</t>
  </si>
  <si>
    <t xml:space="preserve">    Despesas Previdenciárias</t>
  </si>
  <si>
    <t>Plano Previdênciário</t>
  </si>
  <si>
    <t>Plano Financeiro</t>
  </si>
  <si>
    <t xml:space="preserve">Receita Corrente Líquida Ajustada para Cálculo dos Limites de Endividamento </t>
  </si>
  <si>
    <t xml:space="preserve">Receita Corrente Líquida Ajustada para Cálculo dos Limites da Despesa com Pessoal </t>
  </si>
  <si>
    <t xml:space="preserve">    10.5- Cota-Parte ITR ou ITR Arrecadado Destinados ao FUNDEB – (20% de 2.5)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</si>
  <si>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</si>
  <si>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</si>
  <si>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</si>
  <si>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</si>
  <si>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</si>
  <si>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</si>
  <si>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</si>
  <si>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</si>
  <si>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</si>
  <si>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>DESPESAS PAGAS</t>
  </si>
  <si>
    <t>(e/c) x 100</t>
  </si>
  <si>
    <t>(f/c) x 100</t>
  </si>
  <si>
    <t>RECEITA DE IMPOSTOS (I)</t>
  </si>
  <si>
    <t>TOTAL DAS RECEITAS RESULTANTES DE IMPOSTOS E TRANFERÊNCIAS CONSTITUCIONAIS E LEGAIS - (III) = (I) + (II)</t>
  </si>
  <si>
    <t>DESPESAS COM AÇÕES E SERVIÇOS PÚBLICOS DE SAÚDE (ASPS) –  POR SUBFUNÇÃO E CATEGORIA ECONÔMICA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</si>
  <si>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</si>
  <si>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</si>
  <si>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</si>
  <si>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</si>
  <si>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</si>
  <si>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</si>
  <si>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 (VII)</t>
  </si>
  <si>
    <t>VIGILÂNCIA EPIDEMIOLÓGICA (VIII)</t>
  </si>
  <si>
    <t>ALIMENTAÇÃO E NUTRIÇÃO (IX)</t>
  </si>
  <si>
    <t>OUTRAS SUBFUNÇÕES (X)</t>
  </si>
  <si>
    <t xml:space="preserve">    Receita Resultante do IRRF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</si>
  <si>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</si>
  <si>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</si>
  <si>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</si>
  <si>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</si>
  <si>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</si>
  <si>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</si>
  <si>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</si>
  <si>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</si>
  <si>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r>
      <t>Diferença entre o Valor Aplicado e a Despesa Mínima a ser Aplicada (XVIII) = (XVI (d ou e) - XVII)</t>
    </r>
    <r>
      <rPr>
        <vertAlign val="superscript"/>
        <sz val="9"/>
        <rFont val="Times New Roman"/>
        <family val="1"/>
      </rPr>
      <t>1</t>
    </r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</si>
  <si>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</si>
  <si>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</si>
  <si>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</si>
  <si>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Diferença de limite não cumprido no exercício</t>
  </si>
  <si>
    <t>Diferença de limite não cumprido no exercício anterior</t>
  </si>
  <si>
    <t>Diferença de limite não cumprido em exercícios anteriores</t>
  </si>
  <si>
    <t>TOTAL DA DIFERENÇA DE LIMITE NÃO CUMPRIDO EM EXERCÍCIOS ANTERIORES (XX)</t>
  </si>
  <si>
    <t>Despesas Custeadas no Exercício de Referência</t>
  </si>
  <si>
    <t>Pagas</t>
  </si>
  <si>
    <t>Liquidadas</t>
  </si>
  <si>
    <t>Empenhadad</t>
  </si>
  <si>
    <t xml:space="preserve">Saldo Inicial                                       (no exercicio atual)                             </t>
  </si>
  <si>
    <t xml:space="preserve">Saldo Final                               (não aplicado)1                                             </t>
  </si>
  <si>
    <t>(l) = (h - (i ou j))</t>
  </si>
  <si>
    <t>EXECUÇÃO DE RESTOS A PAGAR</t>
  </si>
  <si>
    <t>EXERÍCIO DO EMPENHO</t>
  </si>
  <si>
    <t>Inscritos em &lt;Exercício de Referência - 3&gt;</t>
  </si>
  <si>
    <t>Inscritos em exercícios anteriores</t>
  </si>
  <si>
    <t xml:space="preserve"> Valor Mínimo para aplicação em ASPS                                                </t>
  </si>
  <si>
    <t>(n)</t>
  </si>
  <si>
    <t xml:space="preserve"> Valor aplicado em ASPS no exercício</t>
  </si>
  <si>
    <t>(o) = (n - m)</t>
  </si>
  <si>
    <t>Valor aplicado além do limite mínimo</t>
  </si>
  <si>
    <t>(p)</t>
  </si>
  <si>
    <t>Total inscrito em RP no exercício</t>
  </si>
  <si>
    <t xml:space="preserve">RPNP Inscritos Indevidamente no Exercício sem Disponibilidade Financeira         </t>
  </si>
  <si>
    <t>q = (XIIId)</t>
  </si>
  <si>
    <t xml:space="preserve">Valor inscrito em RP considerado no Limite                                  </t>
  </si>
  <si>
    <t xml:space="preserve">(r) = (p - (o + q))           </t>
  </si>
  <si>
    <t xml:space="preserve">Total de RP pagos                </t>
  </si>
  <si>
    <t>(s)</t>
  </si>
  <si>
    <t xml:space="preserve">Total de RP a pagar                     </t>
  </si>
  <si>
    <t>(t)</t>
  </si>
  <si>
    <t>(u)</t>
  </si>
  <si>
    <t>Total de RP cancelados ou prescritos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</si>
  <si>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</si>
  <si>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</si>
  <si>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</si>
  <si>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</si>
  <si>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>TOTAL DE RESTOS A PAGAR CANCELADOS OU PRESCRITOS A COMPENSAR (XXVII)</t>
  </si>
  <si>
    <t>(W)</t>
  </si>
  <si>
    <t>(x)</t>
  </si>
  <si>
    <t>(y)</t>
  </si>
  <si>
    <t>(z)</t>
  </si>
  <si>
    <t>(aa) = (w - (x ou y))</t>
  </si>
  <si>
    <t>RECEITAS DE TRANSFERÊNCIAS PARA A SAÚDE  (XXVIII)</t>
  </si>
  <si>
    <t>RECEITA DE OPERAÇÕES DE CRÉDITO INTERNAS E EXTERNAS VINCULADAS A SAÚDE (XXIX)</t>
  </si>
  <si>
    <t>OUTRAS RECEITAS (XXX)</t>
  </si>
  <si>
    <t>RECEITAS ADICIONAIS PARA O FINANCIAMENTO DA SAÚDE NÃO COMPUTADAS NO CÁLCULO DO MÍNIMO</t>
  </si>
  <si>
    <t>TOTAL DE RECEITAS ADICIONAIS PARA FINANCIAMENTO DA SAÚDE (XXXI) = (XXVIII + XXIX + XXX)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</si>
  <si>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</si>
  <si>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</si>
  <si>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</si>
  <si>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</si>
  <si>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</si>
  <si>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</si>
  <si>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</si>
  <si>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</si>
  <si>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(d/c)x100</t>
  </si>
  <si>
    <t>(e/c)x100</t>
  </si>
  <si>
    <t>(f/c)x100</t>
  </si>
  <si>
    <t>DESPESAS TOTAIS COM SAÚDE EXECUTADAS COM COM RECURSOS PRÓPRIOS E COM RECURSOS TRANSFERIDOS DE OUTROS ENTES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</si>
  <si>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</si>
  <si>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</si>
  <si>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</si>
  <si>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</si>
  <si>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</si>
  <si>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</si>
  <si>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</si>
  <si>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</si>
  <si>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r>
      <t>(-) Despesas executadas com recursos provenientes das transferências de recursos de outros entes</t>
    </r>
    <r>
      <rPr>
        <b/>
        <vertAlign val="superscript"/>
        <sz val="10"/>
        <rFont val="Times New Roman"/>
        <family val="1"/>
      </rPr>
      <t>3</t>
    </r>
  </si>
  <si>
    <t>TOTAL DAS DESPESAS EXECUTADAS COM RECURSOS PRÓPRIOS (XLVIII)</t>
  </si>
  <si>
    <t>¹Nos cinco primeiros bimestres do exercício, o acompanhamento será feito com base na despesa liquidada. No último bimestre do exercício, o valor deverá corresponder ao total da despesa empenhada.</t>
  </si>
  <si>
    <t>2Até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</si>
  <si>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3Essas despesas são consideradas executadas pelo ente transferidor.</t>
  </si>
  <si>
    <t>Notas:</t>
  </si>
  <si>
    <t>TOTAL (XI) = (IV + V + VI + VII + VIII + IX + X)</t>
  </si>
  <si>
    <t>34- CANCELAMENTO, NO EXERCÍCIO, DE RESTOS A PAGAR INSCRITOS COM DISPONIBILIDADE FINANCEIRA DE RECURSOS DE IMPOSTOS VINCULADOS AO ENSINO = (44 j)</t>
  </si>
  <si>
    <t>META DA RECEITA APROVADA NA LDO</t>
  </si>
  <si>
    <t>META DA DESPESA APROVADA NA LDO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</si>
  <si>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</si>
  <si>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</si>
  <si>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</si>
  <si>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</si>
  <si>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1º Bimestre</t>
  </si>
  <si>
    <t>NILSON ALCIDES GASPAR</t>
  </si>
  <si>
    <t>PREFEITO MUNICIPAL</t>
  </si>
  <si>
    <t>MARIANA ALVES RIZATO</t>
  </si>
  <si>
    <t>CONTADORA</t>
  </si>
  <si>
    <t>LUIS HENRIQUE BORTOLETTO</t>
  </si>
  <si>
    <t>COORDENADOR DE SERVIÇOS DE CONTABILIDADE</t>
  </si>
  <si>
    <t>FONTE: Sistema CECAM, Unidade Responsável: CONTABILIDADE. Emissão: 22/03/2021, às 07:27:47. Assinado Digitalmente no dia 22/03/2021, às 07:27:47.</t>
  </si>
  <si>
    <t>FONTE: Sistema CECAM, Unidade Responsável: CONTABILIDADE. Emissão: 22/03/2021, às 07:28:02. Assinado Digitalmente no dia 22/03/2021, às 07:28:02.</t>
  </si>
  <si>
    <t>FONTE: Sistema CECAM, Unidade Responsável: CONTABILIDADE. Emissão: 22/03/2021, às 07:28:05. Assinado Digitalmente no dia 22/03/2021, às 07:28:05.</t>
  </si>
  <si>
    <t>FONTE: Sistema CECAM, Unidade Responsável: CONTABILIDADE. Emissão: 22/03/2021, às 07:28:18. Assinado Digitalmente no dia 22/03/2021, às 07:28:18.</t>
  </si>
  <si>
    <t>FONTE: Sistema CECAM, Unidade Responsável: CONTABILIDADE. Emissão: 22/03/2021, às 07:28:23. Assinado Digitalmente no dia 22/03/2021, às 07:28:23.</t>
  </si>
  <si>
    <t>FONTE: Sistema CECAM, Unidade Responsável: CONTABILIDADE. Emissão: 22/03/2021, às 07:28:26. Assinado Digitalmente no dia 22/03/2021, às 07:28:26.</t>
  </si>
  <si>
    <t>FONTE: Sistema CECAM, Unidade Responsável: CONTABILIDADE. Emissão: 22/03/2021, às 07:28:58. Assinado Digitalmente no dia 22/03/2021, às 07:28:58.</t>
  </si>
  <si>
    <t>FONTE: Sistema CECAM, Unidade Responsável: CONTABILIDADE. Emissão: 22/03/2021, às 07:28:59. Assinado Digitalmente no dia 22/03/2021, às 07:28:59.</t>
  </si>
  <si>
    <t>FONTE: Sistema CECAM, Unidade Responsável: CONTABILIDADE. Emissão: 22/03/2021, às 07:29:03. Assinado Digitalmente no dia 22/03/2021, às 07:29:03.</t>
  </si>
  <si>
    <t>FONTE: Sistema CECAM, Unidade Responsável: CONTABILIDADE. Emissão: 22/03/2021, às 07:29:10. Assinado Digitalmente no dia 22/03/2021, às 07:29:10.</t>
  </si>
  <si>
    <t>FONTE: Sistema CECAM, Unidade Responsável: CONTABILIDADE. Emissão: 22/03/2021, às 07:29:12. Assinado Digitalmente no dia 22/03/2021, às 07:29:12.</t>
  </si>
  <si>
    <t>FONTE: Sistema CECAM, Unidade Responsável: CONTABILIDADE. Emissão: 22/03/2021, às 07:29:13. Assinado Digitalmente no dia 22/03/2021, às 07:29:13.</t>
  </si>
  <si>
    <t>CRC-SP 321123/O-4</t>
  </si>
  <si>
    <t>CRC-SP 289944/O-3</t>
  </si>
  <si>
    <r>
      <rPr>
        <b/>
        <sz val="10"/>
        <rFont val="Times New Roman"/>
        <family val="1"/>
      </rPr>
      <t>NOTA EXPLICATIVA:</t>
    </r>
    <r>
      <rPr>
        <sz val="10"/>
        <rFont val="Times New Roman"/>
        <family val="1"/>
      </rPr>
      <t xml:space="preserve"> Nos valores da linha "Rendimentos de Aplicação Financeira" não foram computados os rendimentos de aplicação financeira do RPPS, para não prejudicar a apuração do percentual dos limites do RREO e RGF, uma vez que se tratam de recursos vinculados e exclusivos que somente poderão ser utilizados para pagamento de benefícios previdenciários.</t>
    </r>
  </si>
  <si>
    <t>Considerando a destinação específica dada aos recursos vinculados ao RPPS na Lei 9.717/98, entendemos que os ganhos com aplicação financeira registrados pelo RPPS devem ser deduzidos da RCL, pois do contrário esta variável aumentará, dando, de maneira indevida, uma margem maior para endividamento e gastos com pessoal aos entes municipais.</t>
  </si>
  <si>
    <t>ELIETH APARECIDA PEREIRA</t>
  </si>
  <si>
    <t>CONTADORA - SEPREV</t>
  </si>
  <si>
    <t>CRC-SP 323.834/O-5</t>
  </si>
  <si>
    <t>CRC - SP 321123/O-4</t>
  </si>
  <si>
    <t>RITA DE CÁSSIA TRASFERETTI</t>
  </si>
  <si>
    <t>SECRETÁRIA MUNICIPAL DE EDUCAÇÃO</t>
  </si>
  <si>
    <r>
      <t>INSCRITAS EM RESTOS A PAGAR NÃO PROCESSADOS</t>
    </r>
    <r>
      <rPr>
        <b/>
        <vertAlign val="superscript"/>
        <sz val="8"/>
        <rFont val="Times New Roman"/>
        <family val="1"/>
      </rPr>
      <t>6</t>
    </r>
  </si>
  <si>
    <t>GRAZIELA DRIGO BOSSOLAN GARCIA</t>
  </si>
  <si>
    <t>SECRETÁRIA MUNICIPAL DA SAÚDE</t>
  </si>
  <si>
    <t>EXERCÍCIO: 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</si>
</sst>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0.000"/>
    <numFmt numFmtId="178" formatCode="0.0000"/>
    <numFmt numFmtId="179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trike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0" tint="-0.14995999634265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43" fontId="3" fillId="0" borderId="0" xfId="0" applyNumberFormat="1" applyFont="1" applyFill="1" applyAlignment="1">
      <alignment/>
    </xf>
    <xf numFmtId="43" fontId="3" fillId="0" borderId="10" xfId="0" applyNumberFormat="1" applyFont="1" applyFill="1" applyBorder="1" applyAlignment="1">
      <alignment horizontal="justify" vertical="top" wrapText="1"/>
    </xf>
    <xf numFmtId="43" fontId="3" fillId="0" borderId="11" xfId="0" applyNumberFormat="1" applyFont="1" applyFill="1" applyBorder="1" applyAlignment="1">
      <alignment horizontal="justify" vertical="top" wrapText="1"/>
    </xf>
    <xf numFmtId="43" fontId="3" fillId="0" borderId="12" xfId="0" applyNumberFormat="1" applyFont="1" applyFill="1" applyBorder="1" applyAlignment="1">
      <alignment horizontal="left" vertical="top"/>
    </xf>
    <xf numFmtId="43" fontId="3" fillId="0" borderId="13" xfId="69" applyNumberFormat="1" applyFont="1" applyFill="1" applyBorder="1" applyAlignment="1">
      <alignment/>
    </xf>
    <xf numFmtId="43" fontId="5" fillId="0" borderId="0" xfId="50" applyNumberFormat="1" applyFont="1" applyFill="1" applyAlignment="1">
      <alignment/>
      <protection/>
    </xf>
    <xf numFmtId="43" fontId="5" fillId="0" borderId="13" xfId="50" applyNumberFormat="1" applyFont="1" applyBorder="1" applyAlignment="1">
      <alignment horizontal="left" vertical="top" wrapText="1"/>
      <protection/>
    </xf>
    <xf numFmtId="43" fontId="3" fillId="0" borderId="12" xfId="69" applyNumberFormat="1" applyFont="1" applyFill="1" applyBorder="1" applyAlignment="1">
      <alignment/>
    </xf>
    <xf numFmtId="43" fontId="3" fillId="0" borderId="14" xfId="69" applyNumberFormat="1" applyFont="1" applyFill="1" applyBorder="1" applyAlignment="1">
      <alignment/>
    </xf>
    <xf numFmtId="43" fontId="10" fillId="0" borderId="13" xfId="50" applyNumberFormat="1" applyFont="1" applyBorder="1" applyAlignment="1">
      <alignment horizontal="left" vertical="top" wrapText="1"/>
      <protection/>
    </xf>
    <xf numFmtId="43" fontId="3" fillId="0" borderId="0" xfId="69" applyNumberFormat="1" applyFont="1" applyFill="1" applyBorder="1" applyAlignment="1">
      <alignment/>
    </xf>
    <xf numFmtId="43" fontId="5" fillId="0" borderId="15" xfId="50" applyNumberFormat="1" applyFont="1" applyBorder="1" applyAlignment="1">
      <alignment horizontal="left" vertical="top" wrapText="1"/>
      <protection/>
    </xf>
    <xf numFmtId="43" fontId="3" fillId="0" borderId="16" xfId="69" applyNumberFormat="1" applyFont="1" applyFill="1" applyBorder="1" applyAlignment="1">
      <alignment/>
    </xf>
    <xf numFmtId="43" fontId="3" fillId="0" borderId="15" xfId="69" applyNumberFormat="1" applyFont="1" applyFill="1" applyBorder="1" applyAlignment="1">
      <alignment/>
    </xf>
    <xf numFmtId="43" fontId="5" fillId="0" borderId="17" xfId="50" applyNumberFormat="1" applyFont="1" applyBorder="1" applyAlignment="1">
      <alignment horizontal="left" vertical="top" wrapText="1"/>
      <protection/>
    </xf>
    <xf numFmtId="43" fontId="5" fillId="0" borderId="17" xfId="50" applyNumberFormat="1" applyFont="1" applyFill="1" applyBorder="1" applyAlignment="1">
      <alignment/>
      <protection/>
    </xf>
    <xf numFmtId="43" fontId="3" fillId="0" borderId="12" xfId="69" applyNumberFormat="1" applyFont="1" applyFill="1" applyBorder="1" applyAlignment="1">
      <alignment horizontal="right"/>
    </xf>
    <xf numFmtId="43" fontId="3" fillId="0" borderId="14" xfId="69" applyNumberFormat="1" applyFont="1" applyFill="1" applyBorder="1" applyAlignment="1">
      <alignment horizontal="right"/>
    </xf>
    <xf numFmtId="43" fontId="3" fillId="0" borderId="18" xfId="69" applyNumberFormat="1" applyFont="1" applyFill="1" applyBorder="1" applyAlignment="1">
      <alignment horizontal="right"/>
    </xf>
    <xf numFmtId="43" fontId="3" fillId="0" borderId="0" xfId="69" applyNumberFormat="1" applyFont="1" applyFill="1" applyBorder="1" applyAlignment="1">
      <alignment horizontal="right"/>
    </xf>
    <xf numFmtId="43" fontId="3" fillId="0" borderId="13" xfId="69" applyNumberFormat="1" applyFont="1" applyFill="1" applyBorder="1" applyAlignment="1">
      <alignment horizontal="right"/>
    </xf>
    <xf numFmtId="43" fontId="3" fillId="0" borderId="10" xfId="69" applyNumberFormat="1" applyFont="1" applyFill="1" applyBorder="1" applyAlignment="1">
      <alignment horizontal="right"/>
    </xf>
    <xf numFmtId="43" fontId="5" fillId="0" borderId="13" xfId="50" applyNumberFormat="1" applyFont="1" applyBorder="1" applyAlignment="1">
      <alignment horizontal="left" wrapText="1"/>
      <protection/>
    </xf>
    <xf numFmtId="43" fontId="5" fillId="0" borderId="13" xfId="50" applyNumberFormat="1" applyFont="1" applyBorder="1" applyAlignment="1">
      <alignment horizontal="justify" vertical="top" wrapText="1"/>
      <protection/>
    </xf>
    <xf numFmtId="43" fontId="10" fillId="0" borderId="13" xfId="50" applyNumberFormat="1" applyFont="1" applyBorder="1" applyAlignment="1">
      <alignment horizontal="justify" vertical="top" wrapText="1"/>
      <protection/>
    </xf>
    <xf numFmtId="43" fontId="3" fillId="0" borderId="11" xfId="69" applyNumberFormat="1" applyFont="1" applyFill="1" applyBorder="1" applyAlignment="1">
      <alignment horizontal="right"/>
    </xf>
    <xf numFmtId="43" fontId="3" fillId="0" borderId="17" xfId="69" applyNumberFormat="1" applyFont="1" applyFill="1" applyBorder="1" applyAlignment="1">
      <alignment horizontal="right" wrapText="1"/>
    </xf>
    <xf numFmtId="43" fontId="3" fillId="0" borderId="15" xfId="69" applyNumberFormat="1" applyFont="1" applyFill="1" applyBorder="1" applyAlignment="1">
      <alignment horizontal="right" wrapText="1"/>
    </xf>
    <xf numFmtId="43" fontId="3" fillId="0" borderId="15" xfId="69" applyNumberFormat="1" applyFont="1" applyFill="1" applyBorder="1" applyAlignment="1">
      <alignment horizontal="right"/>
    </xf>
    <xf numFmtId="43" fontId="5" fillId="0" borderId="17" xfId="50" applyNumberFormat="1" applyFont="1" applyFill="1" applyBorder="1" applyAlignment="1">
      <alignment horizontal="left" vertical="top" wrapText="1"/>
      <protection/>
    </xf>
    <xf numFmtId="43" fontId="5" fillId="0" borderId="17" xfId="50" applyNumberFormat="1" applyFont="1" applyFill="1" applyBorder="1" applyAlignment="1">
      <alignment horizontal="right" vertical="top" wrapText="1"/>
      <protection/>
    </xf>
    <xf numFmtId="43" fontId="5" fillId="0" borderId="14" xfId="50" applyNumberFormat="1" applyFont="1" applyBorder="1" applyAlignment="1">
      <alignment horizontal="left" vertical="top" wrapText="1"/>
      <protection/>
    </xf>
    <xf numFmtId="43" fontId="3" fillId="0" borderId="19" xfId="69" applyNumberFormat="1" applyFont="1" applyFill="1" applyBorder="1" applyAlignment="1">
      <alignment/>
    </xf>
    <xf numFmtId="43" fontId="3" fillId="0" borderId="18" xfId="69" applyNumberFormat="1" applyFont="1" applyFill="1" applyBorder="1" applyAlignment="1">
      <alignment/>
    </xf>
    <xf numFmtId="43" fontId="3" fillId="0" borderId="10" xfId="69" applyNumberFormat="1" applyFont="1" applyFill="1" applyBorder="1" applyAlignment="1">
      <alignment/>
    </xf>
    <xf numFmtId="43" fontId="3" fillId="0" borderId="20" xfId="69" applyNumberFormat="1" applyFont="1" applyFill="1" applyBorder="1" applyAlignment="1">
      <alignment/>
    </xf>
    <xf numFmtId="43" fontId="3" fillId="0" borderId="17" xfId="69" applyNumberFormat="1" applyFont="1" applyFill="1" applyBorder="1" applyAlignment="1">
      <alignment/>
    </xf>
    <xf numFmtId="43" fontId="5" fillId="0" borderId="12" xfId="50" applyNumberFormat="1" applyFont="1" applyFill="1" applyBorder="1" applyAlignment="1">
      <alignment horizontal="left" vertical="top" wrapText="1"/>
      <protection/>
    </xf>
    <xf numFmtId="43" fontId="9" fillId="0" borderId="0" xfId="50" applyNumberFormat="1" applyFont="1" applyFill="1" applyBorder="1" applyAlignment="1">
      <alignment/>
      <protection/>
    </xf>
    <xf numFmtId="43" fontId="5" fillId="0" borderId="15" xfId="69" applyNumberFormat="1" applyFont="1" applyFill="1" applyBorder="1" applyAlignment="1">
      <alignment horizontal="left" wrapText="1"/>
    </xf>
    <xf numFmtId="43" fontId="5" fillId="0" borderId="0" xfId="50" applyNumberFormat="1" applyFont="1" applyFill="1" applyBorder="1" applyAlignment="1">
      <alignment horizontal="left" vertical="top" wrapText="1"/>
      <protection/>
    </xf>
    <xf numFmtId="43" fontId="5" fillId="0" borderId="0" xfId="51" applyNumberFormat="1" applyFont="1" applyFill="1" applyBorder="1" applyAlignment="1">
      <alignment/>
      <protection/>
    </xf>
    <xf numFmtId="43" fontId="5" fillId="0" borderId="21" xfId="50" applyNumberFormat="1" applyFont="1" applyFill="1" applyBorder="1" applyAlignment="1">
      <alignment horizontal="left" vertical="top" wrapText="1"/>
      <protection/>
    </xf>
    <xf numFmtId="43" fontId="5" fillId="0" borderId="18" xfId="50" applyNumberFormat="1" applyFont="1" applyBorder="1" applyAlignment="1">
      <alignment horizontal="left" vertical="top" wrapText="1"/>
      <protection/>
    </xf>
    <xf numFmtId="43" fontId="3" fillId="0" borderId="18" xfId="69" applyNumberFormat="1" applyFont="1" applyBorder="1" applyAlignment="1">
      <alignment/>
    </xf>
    <xf numFmtId="43" fontId="3" fillId="0" borderId="19" xfId="69" applyNumberFormat="1" applyFont="1" applyBorder="1" applyAlignment="1">
      <alignment/>
    </xf>
    <xf numFmtId="43" fontId="3" fillId="0" borderId="22" xfId="69" applyNumberFormat="1" applyFont="1" applyFill="1" applyBorder="1" applyAlignment="1">
      <alignment/>
    </xf>
    <xf numFmtId="43" fontId="5" fillId="0" borderId="10" xfId="50" applyNumberFormat="1" applyFont="1" applyBorder="1" applyAlignment="1">
      <alignment horizontal="left" vertical="top" wrapText="1"/>
      <protection/>
    </xf>
    <xf numFmtId="43" fontId="3" fillId="0" borderId="10" xfId="69" applyNumberFormat="1" applyFont="1" applyBorder="1" applyAlignment="1">
      <alignment/>
    </xf>
    <xf numFmtId="43" fontId="3" fillId="0" borderId="0" xfId="69" applyNumberFormat="1" applyFont="1" applyAlignment="1">
      <alignment/>
    </xf>
    <xf numFmtId="43" fontId="5" fillId="0" borderId="11" xfId="50" applyNumberFormat="1" applyFont="1" applyBorder="1" applyAlignment="1">
      <alignment horizontal="left" vertical="top" wrapText="1"/>
      <protection/>
    </xf>
    <xf numFmtId="43" fontId="3" fillId="0" borderId="23" xfId="69" applyNumberFormat="1" applyFont="1" applyFill="1" applyBorder="1" applyAlignment="1">
      <alignment/>
    </xf>
    <xf numFmtId="43" fontId="3" fillId="0" borderId="15" xfId="69" applyNumberFormat="1" applyFont="1" applyBorder="1" applyAlignment="1">
      <alignment/>
    </xf>
    <xf numFmtId="43" fontId="3" fillId="0" borderId="24" xfId="69" applyNumberFormat="1" applyFont="1" applyBorder="1" applyAlignment="1">
      <alignment/>
    </xf>
    <xf numFmtId="43" fontId="3" fillId="0" borderId="16" xfId="69" applyNumberFormat="1" applyFont="1" applyBorder="1" applyAlignment="1">
      <alignment/>
    </xf>
    <xf numFmtId="43" fontId="5" fillId="0" borderId="19" xfId="50" applyNumberFormat="1" applyFont="1" applyBorder="1" applyAlignment="1">
      <alignment horizontal="right" vertical="top" wrapText="1"/>
      <protection/>
    </xf>
    <xf numFmtId="43" fontId="5" fillId="0" borderId="19" xfId="50" applyNumberFormat="1" applyFont="1" applyFill="1" applyBorder="1" applyAlignment="1">
      <alignment/>
      <protection/>
    </xf>
    <xf numFmtId="43" fontId="5" fillId="0" borderId="0" xfId="50" applyNumberFormat="1" applyFont="1" applyFill="1" applyBorder="1" applyAlignment="1">
      <alignment vertical="center"/>
      <protection/>
    </xf>
    <xf numFmtId="43" fontId="5" fillId="0" borderId="22" xfId="50" applyNumberFormat="1" applyFont="1" applyBorder="1" applyAlignment="1">
      <alignment horizontal="left" vertical="top" wrapText="1"/>
      <protection/>
    </xf>
    <xf numFmtId="43" fontId="5" fillId="0" borderId="0" xfId="50" applyNumberFormat="1" applyFont="1" applyFill="1" applyBorder="1" applyAlignment="1">
      <alignment/>
      <protection/>
    </xf>
    <xf numFmtId="43" fontId="5" fillId="0" borderId="12" xfId="50" applyNumberFormat="1" applyFont="1" applyBorder="1" applyAlignment="1">
      <alignment vertical="top" wrapText="1"/>
      <protection/>
    </xf>
    <xf numFmtId="43" fontId="5" fillId="0" borderId="12" xfId="50" applyNumberFormat="1" applyFont="1" applyBorder="1" applyAlignment="1">
      <alignment horizontal="left" vertical="top" wrapText="1"/>
      <protection/>
    </xf>
    <xf numFmtId="43" fontId="5" fillId="0" borderId="23" xfId="50" applyNumberFormat="1" applyFont="1" applyBorder="1" applyAlignment="1">
      <alignment vertical="top" wrapText="1"/>
      <protection/>
    </xf>
    <xf numFmtId="43" fontId="5" fillId="0" borderId="16" xfId="50" applyNumberFormat="1" applyFont="1" applyBorder="1" applyAlignment="1">
      <alignment vertical="top" wrapText="1"/>
      <protection/>
    </xf>
    <xf numFmtId="43" fontId="3" fillId="0" borderId="20" xfId="69" applyNumberFormat="1" applyFont="1" applyBorder="1" applyAlignment="1">
      <alignment/>
    </xf>
    <xf numFmtId="43" fontId="5" fillId="0" borderId="17" xfId="50" applyNumberFormat="1" applyFont="1" applyBorder="1" applyAlignment="1">
      <alignment vertical="top" wrapText="1"/>
      <protection/>
    </xf>
    <xf numFmtId="43" fontId="5" fillId="0" borderId="0" xfId="50" applyNumberFormat="1" applyFont="1" applyBorder="1" applyAlignment="1">
      <alignment vertical="top" wrapText="1"/>
      <protection/>
    </xf>
    <xf numFmtId="43" fontId="0" fillId="0" borderId="0" xfId="50" applyNumberFormat="1" applyFont="1" applyBorder="1" applyAlignment="1">
      <alignment vertical="top" wrapText="1"/>
      <protection/>
    </xf>
    <xf numFmtId="43" fontId="5" fillId="0" borderId="12" xfId="50" applyNumberFormat="1" applyFont="1" applyFill="1" applyBorder="1" applyAlignment="1">
      <alignment vertical="top"/>
      <protection/>
    </xf>
    <xf numFmtId="43" fontId="5" fillId="0" borderId="12" xfId="50" applyNumberFormat="1" applyFont="1" applyBorder="1" applyAlignment="1">
      <alignment vertical="top"/>
      <protection/>
    </xf>
    <xf numFmtId="43" fontId="5" fillId="0" borderId="23" xfId="50" applyNumberFormat="1" applyFont="1" applyFill="1" applyBorder="1" applyAlignment="1">
      <alignment horizontal="left" vertical="top" wrapText="1"/>
      <protection/>
    </xf>
    <xf numFmtId="43" fontId="3" fillId="0" borderId="20" xfId="69" applyNumberFormat="1" applyFont="1" applyFill="1" applyBorder="1" applyAlignment="1">
      <alignment horizontal="right" wrapText="1"/>
    </xf>
    <xf numFmtId="43" fontId="5" fillId="0" borderId="0" xfId="50" applyNumberFormat="1" applyFont="1" applyFill="1" applyBorder="1" applyAlignment="1">
      <alignment vertical="center" wrapText="1"/>
      <protection/>
    </xf>
    <xf numFmtId="43" fontId="5" fillId="0" borderId="0" xfId="50" applyNumberFormat="1" applyFont="1" applyFill="1" applyAlignment="1">
      <alignment horizontal="center" vertical="center"/>
      <protection/>
    </xf>
    <xf numFmtId="43" fontId="5" fillId="0" borderId="12" xfId="50" applyNumberFormat="1" applyFont="1" applyBorder="1" applyAlignment="1">
      <alignment horizontal="left" vertical="center" wrapText="1"/>
      <protection/>
    </xf>
    <xf numFmtId="43" fontId="5" fillId="0" borderId="23" xfId="50" applyNumberFormat="1" applyFont="1" applyBorder="1" applyAlignment="1">
      <alignment horizontal="left" vertical="center" wrapText="1"/>
      <protection/>
    </xf>
    <xf numFmtId="43" fontId="3" fillId="0" borderId="20" xfId="69" applyNumberFormat="1" applyFont="1" applyFill="1" applyBorder="1" applyAlignment="1">
      <alignment horizontal="right"/>
    </xf>
    <xf numFmtId="43" fontId="3" fillId="0" borderId="22" xfId="69" applyNumberFormat="1" applyFont="1" applyFill="1" applyBorder="1" applyAlignment="1">
      <alignment horizontal="right"/>
    </xf>
    <xf numFmtId="43" fontId="5" fillId="0" borderId="20" xfId="50" applyNumberFormat="1" applyFont="1" applyBorder="1" applyAlignment="1">
      <alignment horizontal="left" vertical="top" wrapText="1"/>
      <protection/>
    </xf>
    <xf numFmtId="43" fontId="3" fillId="0" borderId="23" xfId="69" applyNumberFormat="1" applyFont="1" applyFill="1" applyBorder="1" applyAlignment="1">
      <alignment horizontal="right"/>
    </xf>
    <xf numFmtId="43" fontId="3" fillId="0" borderId="24" xfId="69" applyNumberFormat="1" applyFont="1" applyFill="1" applyBorder="1" applyAlignment="1">
      <alignment horizontal="right"/>
    </xf>
    <xf numFmtId="43" fontId="3" fillId="0" borderId="16" xfId="69" applyNumberFormat="1" applyFont="1" applyFill="1" applyBorder="1" applyAlignment="1">
      <alignment horizontal="right"/>
    </xf>
    <xf numFmtId="43" fontId="5" fillId="0" borderId="0" xfId="50" applyNumberFormat="1" applyFont="1" applyBorder="1" applyAlignment="1">
      <alignment horizontal="left" vertical="top" wrapText="1"/>
      <protection/>
    </xf>
    <xf numFmtId="43" fontId="5" fillId="0" borderId="12" xfId="50" applyNumberFormat="1" applyFont="1" applyBorder="1" applyAlignment="1">
      <alignment horizontal="left" wrapText="1"/>
      <protection/>
    </xf>
    <xf numFmtId="43" fontId="5" fillId="0" borderId="23" xfId="50" applyNumberFormat="1" applyFont="1" applyBorder="1" applyAlignment="1">
      <alignment horizontal="left" vertical="top" wrapText="1"/>
      <protection/>
    </xf>
    <xf numFmtId="43" fontId="3" fillId="0" borderId="17" xfId="50" applyNumberFormat="1" applyFont="1" applyFill="1" applyBorder="1" applyAlignment="1">
      <alignment horizontal="right"/>
      <protection/>
    </xf>
    <xf numFmtId="43" fontId="3" fillId="0" borderId="15" xfId="50" applyNumberFormat="1" applyFont="1" applyFill="1" applyBorder="1" applyAlignment="1">
      <alignment horizontal="right"/>
      <protection/>
    </xf>
    <xf numFmtId="43" fontId="5" fillId="0" borderId="16" xfId="50" applyNumberFormat="1" applyFont="1" applyBorder="1" applyAlignment="1">
      <alignment horizontal="left" vertical="center" wrapText="1"/>
      <protection/>
    </xf>
    <xf numFmtId="43" fontId="5" fillId="0" borderId="0" xfId="50" applyNumberFormat="1" applyFont="1" applyFill="1" applyBorder="1" applyAlignment="1">
      <alignment horizontal="left" vertical="center" wrapText="1"/>
      <protection/>
    </xf>
    <xf numFmtId="43" fontId="5" fillId="0" borderId="0" xfId="50" applyNumberFormat="1" applyFont="1" applyFill="1" applyBorder="1" applyAlignment="1">
      <alignment horizontal="left" vertical="center"/>
      <protection/>
    </xf>
    <xf numFmtId="43" fontId="5" fillId="0" borderId="0" xfId="50" applyNumberFormat="1" applyFont="1" applyFill="1" applyAlignment="1">
      <alignment horizontal="left" vertical="center"/>
      <protection/>
    </xf>
    <xf numFmtId="43" fontId="5" fillId="0" borderId="19" xfId="50" applyNumberFormat="1" applyFont="1" applyBorder="1" applyAlignment="1">
      <alignment horizontal="left" vertical="center" wrapText="1"/>
      <protection/>
    </xf>
    <xf numFmtId="43" fontId="5" fillId="0" borderId="19" xfId="50" applyNumberFormat="1" applyFont="1" applyFill="1" applyBorder="1" applyAlignment="1">
      <alignment horizontal="left" vertical="center" wrapText="1"/>
      <protection/>
    </xf>
    <xf numFmtId="43" fontId="5" fillId="0" borderId="20" xfId="50" applyNumberFormat="1" applyFont="1" applyBorder="1" applyAlignment="1">
      <alignment horizontal="left" wrapText="1"/>
      <protection/>
    </xf>
    <xf numFmtId="43" fontId="5" fillId="0" borderId="19" xfId="50" applyNumberFormat="1" applyFont="1" applyBorder="1" applyAlignment="1">
      <alignment horizontal="left" wrapText="1"/>
      <protection/>
    </xf>
    <xf numFmtId="43" fontId="5" fillId="0" borderId="22" xfId="50" applyNumberFormat="1" applyFont="1" applyFill="1" applyBorder="1" applyAlignment="1">
      <alignment horizontal="left" vertical="center"/>
      <protection/>
    </xf>
    <xf numFmtId="43" fontId="5" fillId="0" borderId="12" xfId="50" applyNumberFormat="1" applyFont="1" applyFill="1" applyBorder="1" applyAlignment="1">
      <alignment horizontal="left" vertical="center"/>
      <protection/>
    </xf>
    <xf numFmtId="43" fontId="5" fillId="0" borderId="23" xfId="50" applyNumberFormat="1" applyFont="1" applyFill="1" applyBorder="1" applyAlignment="1">
      <alignment horizontal="left" vertical="center"/>
      <protection/>
    </xf>
    <xf numFmtId="43" fontId="5" fillId="0" borderId="0" xfId="50" applyNumberFormat="1" applyFont="1" applyFill="1" applyBorder="1" applyAlignment="1">
      <alignment horizontal="center"/>
      <protection/>
    </xf>
    <xf numFmtId="43" fontId="5" fillId="0" borderId="14" xfId="50" applyNumberFormat="1" applyFont="1" applyBorder="1" applyAlignment="1">
      <alignment vertical="top" wrapText="1"/>
      <protection/>
    </xf>
    <xf numFmtId="43" fontId="5" fillId="0" borderId="13" xfId="50" applyNumberFormat="1" applyFont="1" applyBorder="1" applyAlignment="1">
      <alignment vertical="top" wrapText="1"/>
      <protection/>
    </xf>
    <xf numFmtId="43" fontId="5" fillId="0" borderId="21" xfId="50" applyNumberFormat="1" applyFont="1" applyBorder="1" applyAlignment="1">
      <alignment horizontal="left" vertical="top" wrapText="1"/>
      <protection/>
    </xf>
    <xf numFmtId="43" fontId="5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horizontal="left"/>
    </xf>
    <xf numFmtId="43" fontId="9" fillId="0" borderId="0" xfId="0" applyNumberFormat="1" applyFont="1" applyFill="1" applyAlignment="1">
      <alignment horizontal="left"/>
    </xf>
    <xf numFmtId="43" fontId="72" fillId="0" borderId="0" xfId="0" applyNumberFormat="1" applyFont="1" applyFill="1" applyAlignment="1">
      <alignment horizontal="left"/>
    </xf>
    <xf numFmtId="43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center"/>
    </xf>
    <xf numFmtId="43" fontId="5" fillId="0" borderId="13" xfId="50" applyNumberFormat="1" applyFont="1" applyFill="1" applyBorder="1" applyAlignment="1">
      <alignment wrapText="1"/>
      <protection/>
    </xf>
    <xf numFmtId="43" fontId="3" fillId="0" borderId="12" xfId="66" applyNumberFormat="1" applyFont="1" applyFill="1" applyBorder="1" applyAlignment="1">
      <alignment horizontal="right"/>
    </xf>
    <xf numFmtId="43" fontId="3" fillId="0" borderId="22" xfId="66" applyNumberFormat="1" applyFont="1" applyFill="1" applyBorder="1" applyAlignment="1">
      <alignment horizontal="right"/>
    </xf>
    <xf numFmtId="43" fontId="3" fillId="0" borderId="13" xfId="66" applyNumberFormat="1" applyFont="1" applyFill="1" applyBorder="1" applyAlignment="1">
      <alignment horizontal="right"/>
    </xf>
    <xf numFmtId="43" fontId="3" fillId="0" borderId="14" xfId="66" applyNumberFormat="1" applyFont="1" applyFill="1" applyBorder="1" applyAlignment="1">
      <alignment horizontal="right"/>
    </xf>
    <xf numFmtId="43" fontId="5" fillId="0" borderId="13" xfId="50" applyNumberFormat="1" applyFont="1" applyFill="1" applyBorder="1" applyAlignment="1">
      <alignment/>
      <protection/>
    </xf>
    <xf numFmtId="43" fontId="5" fillId="33" borderId="12" xfId="50" applyNumberFormat="1" applyFont="1" applyFill="1" applyBorder="1">
      <alignment/>
      <protection/>
    </xf>
    <xf numFmtId="43" fontId="5" fillId="33" borderId="12" xfId="50" applyNumberFormat="1" applyFont="1" applyFill="1" applyBorder="1" applyAlignment="1">
      <alignment wrapText="1"/>
      <protection/>
    </xf>
    <xf numFmtId="43" fontId="5" fillId="0" borderId="12" xfId="50" applyNumberFormat="1" applyFont="1" applyFill="1" applyBorder="1">
      <alignment/>
      <protection/>
    </xf>
    <xf numFmtId="43" fontId="5" fillId="33" borderId="13" xfId="50" applyNumberFormat="1" applyFont="1" applyFill="1" applyBorder="1" applyAlignment="1">
      <alignment/>
      <protection/>
    </xf>
    <xf numFmtId="43" fontId="5" fillId="33" borderId="13" xfId="50" applyNumberFormat="1" applyFont="1" applyFill="1" applyBorder="1" applyAlignment="1">
      <alignment horizontal="justify" vertical="top" wrapText="1"/>
      <protection/>
    </xf>
    <xf numFmtId="43" fontId="10" fillId="0" borderId="13" xfId="50" applyNumberFormat="1" applyFont="1" applyFill="1" applyBorder="1" applyAlignment="1">
      <alignment horizontal="justify" vertical="top" wrapText="1"/>
      <protection/>
    </xf>
    <xf numFmtId="43" fontId="5" fillId="0" borderId="24" xfId="0" applyNumberFormat="1" applyFont="1" applyFill="1" applyBorder="1" applyAlignment="1">
      <alignment/>
    </xf>
    <xf numFmtId="43" fontId="3" fillId="0" borderId="16" xfId="66" applyNumberFormat="1" applyFont="1" applyFill="1" applyBorder="1" applyAlignment="1">
      <alignment horizontal="right"/>
    </xf>
    <xf numFmtId="43" fontId="3" fillId="0" borderId="15" xfId="66" applyNumberFormat="1" applyFont="1" applyFill="1" applyBorder="1" applyAlignment="1">
      <alignment horizontal="right"/>
    </xf>
    <xf numFmtId="43" fontId="5" fillId="0" borderId="18" xfId="0" applyNumberFormat="1" applyFont="1" applyFill="1" applyBorder="1" applyAlignment="1">
      <alignment wrapText="1"/>
    </xf>
    <xf numFmtId="43" fontId="5" fillId="0" borderId="10" xfId="0" applyNumberFormat="1" applyFont="1" applyFill="1" applyBorder="1" applyAlignment="1">
      <alignment/>
    </xf>
    <xf numFmtId="43" fontId="3" fillId="0" borderId="23" xfId="66" applyNumberFormat="1" applyFont="1" applyFill="1" applyBorder="1" applyAlignment="1">
      <alignment horizontal="right"/>
    </xf>
    <xf numFmtId="43" fontId="3" fillId="0" borderId="20" xfId="66" applyNumberFormat="1" applyFont="1" applyFill="1" applyBorder="1" applyAlignment="1">
      <alignment horizontal="right"/>
    </xf>
    <xf numFmtId="43" fontId="5" fillId="0" borderId="17" xfId="0" applyNumberFormat="1" applyFont="1" applyFill="1" applyBorder="1" applyAlignment="1">
      <alignment/>
    </xf>
    <xf numFmtId="43" fontId="3" fillId="34" borderId="16" xfId="66" applyNumberFormat="1" applyFont="1" applyFill="1" applyBorder="1" applyAlignment="1">
      <alignment/>
    </xf>
    <xf numFmtId="43" fontId="3" fillId="34" borderId="15" xfId="66" applyNumberFormat="1" applyFont="1" applyFill="1" applyBorder="1" applyAlignment="1">
      <alignment/>
    </xf>
    <xf numFmtId="43" fontId="3" fillId="0" borderId="14" xfId="66" applyNumberFormat="1" applyFont="1" applyFill="1" applyBorder="1" applyAlignment="1">
      <alignment/>
    </xf>
    <xf numFmtId="43" fontId="5" fillId="35" borderId="17" xfId="0" applyNumberFormat="1" applyFont="1" applyFill="1" applyBorder="1" applyAlignment="1">
      <alignment/>
    </xf>
    <xf numFmtId="43" fontId="5" fillId="0" borderId="16" xfId="50" applyNumberFormat="1" applyFont="1" applyFill="1" applyBorder="1" applyAlignment="1">
      <alignment wrapText="1"/>
      <protection/>
    </xf>
    <xf numFmtId="43" fontId="3" fillId="0" borderId="16" xfId="66" applyNumberFormat="1" applyFont="1" applyFill="1" applyBorder="1" applyAlignment="1">
      <alignment/>
    </xf>
    <xf numFmtId="43" fontId="5" fillId="0" borderId="12" xfId="50" applyNumberFormat="1" applyFont="1" applyFill="1" applyBorder="1" applyAlignment="1">
      <alignment wrapText="1"/>
      <protection/>
    </xf>
    <xf numFmtId="43" fontId="5" fillId="0" borderId="20" xfId="50" applyNumberFormat="1" applyFont="1" applyFill="1" applyBorder="1" applyAlignment="1">
      <alignment vertical="center" wrapText="1"/>
      <protection/>
    </xf>
    <xf numFmtId="43" fontId="3" fillId="34" borderId="16" xfId="69" applyNumberFormat="1" applyFont="1" applyFill="1" applyBorder="1" applyAlignment="1">
      <alignment/>
    </xf>
    <xf numFmtId="43" fontId="3" fillId="34" borderId="15" xfId="69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center"/>
    </xf>
    <xf numFmtId="43" fontId="9" fillId="35" borderId="19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wrapText="1"/>
    </xf>
    <xf numFmtId="43" fontId="3" fillId="0" borderId="0" xfId="66" applyNumberFormat="1" applyFont="1" applyFill="1" applyAlignment="1">
      <alignment horizontal="right"/>
    </xf>
    <xf numFmtId="43" fontId="3" fillId="0" borderId="10" xfId="66" applyNumberFormat="1" applyFont="1" applyFill="1" applyBorder="1" applyAlignment="1">
      <alignment horizontal="right"/>
    </xf>
    <xf numFmtId="43" fontId="3" fillId="0" borderId="11" xfId="66" applyNumberFormat="1" applyFont="1" applyFill="1" applyBorder="1" applyAlignment="1">
      <alignment horizontal="right"/>
    </xf>
    <xf numFmtId="43" fontId="3" fillId="34" borderId="16" xfId="66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/>
    </xf>
    <xf numFmtId="43" fontId="5" fillId="0" borderId="21" xfId="0" applyNumberFormat="1" applyFont="1" applyFill="1" applyBorder="1" applyAlignment="1">
      <alignment/>
    </xf>
    <xf numFmtId="43" fontId="3" fillId="34" borderId="15" xfId="66" applyNumberFormat="1" applyFont="1" applyFill="1" applyBorder="1" applyAlignment="1">
      <alignment horizontal="right"/>
    </xf>
    <xf numFmtId="43" fontId="3" fillId="35" borderId="16" xfId="66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left" vertical="center" wrapText="1"/>
    </xf>
    <xf numFmtId="43" fontId="5" fillId="0" borderId="14" xfId="50" applyNumberFormat="1" applyFont="1" applyFill="1" applyBorder="1" applyAlignment="1">
      <alignment wrapText="1"/>
      <protection/>
    </xf>
    <xf numFmtId="43" fontId="5" fillId="0" borderId="10" xfId="50" applyNumberFormat="1" applyFont="1" applyFill="1" applyBorder="1" applyAlignment="1">
      <alignment/>
      <protection/>
    </xf>
    <xf numFmtId="43" fontId="5" fillId="0" borderId="10" xfId="50" applyNumberFormat="1" applyFont="1" applyFill="1" applyBorder="1" applyAlignment="1">
      <alignment wrapText="1"/>
      <protection/>
    </xf>
    <xf numFmtId="43" fontId="10" fillId="0" borderId="13" xfId="50" applyNumberFormat="1" applyFont="1" applyFill="1" applyBorder="1" applyAlignment="1">
      <alignment wrapText="1"/>
      <protection/>
    </xf>
    <xf numFmtId="43" fontId="5" fillId="33" borderId="11" xfId="50" applyNumberFormat="1" applyFont="1" applyFill="1" applyBorder="1" applyAlignment="1">
      <alignment horizontal="justify" vertical="top" wrapText="1"/>
      <protection/>
    </xf>
    <xf numFmtId="43" fontId="5" fillId="0" borderId="0" xfId="0" applyNumberFormat="1" applyFont="1" applyFill="1" applyBorder="1" applyAlignment="1">
      <alignment horizontal="justify" vertical="top" wrapText="1"/>
    </xf>
    <xf numFmtId="43" fontId="5" fillId="0" borderId="14" xfId="0" applyNumberFormat="1" applyFont="1" applyFill="1" applyBorder="1" applyAlignment="1">
      <alignment wrapText="1"/>
    </xf>
    <xf numFmtId="43" fontId="3" fillId="0" borderId="19" xfId="66" applyNumberFormat="1" applyFont="1" applyFill="1" applyBorder="1" applyAlignment="1">
      <alignment horizontal="right"/>
    </xf>
    <xf numFmtId="43" fontId="5" fillId="0" borderId="13" xfId="0" applyNumberFormat="1" applyFont="1" applyFill="1" applyBorder="1" applyAlignment="1">
      <alignment/>
    </xf>
    <xf numFmtId="43" fontId="3" fillId="0" borderId="0" xfId="66" applyNumberFormat="1" applyFont="1" applyFill="1" applyBorder="1" applyAlignment="1">
      <alignment horizontal="right"/>
    </xf>
    <xf numFmtId="43" fontId="5" fillId="0" borderId="20" xfId="0" applyNumberFormat="1" applyFont="1" applyFill="1" applyBorder="1" applyAlignment="1">
      <alignment/>
    </xf>
    <xf numFmtId="43" fontId="3" fillId="0" borderId="21" xfId="69" applyNumberFormat="1" applyFont="1" applyFill="1" applyBorder="1" applyAlignment="1">
      <alignment horizontal="right"/>
    </xf>
    <xf numFmtId="43" fontId="5" fillId="0" borderId="0" xfId="0" applyNumberFormat="1" applyFont="1" applyFill="1" applyAlignment="1">
      <alignment horizontal="left" vertical="center"/>
    </xf>
    <xf numFmtId="43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/>
    </xf>
    <xf numFmtId="43" fontId="73" fillId="0" borderId="0" xfId="0" applyNumberFormat="1" applyFont="1" applyFill="1" applyAlignment="1">
      <alignment/>
    </xf>
    <xf numFmtId="43" fontId="5" fillId="0" borderId="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 horizontal="left" indent="2"/>
    </xf>
    <xf numFmtId="43" fontId="3" fillId="35" borderId="15" xfId="66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/>
    </xf>
    <xf numFmtId="43" fontId="9" fillId="0" borderId="13" xfId="0" applyNumberFormat="1" applyFont="1" applyFill="1" applyBorder="1" applyAlignment="1">
      <alignment horizontal="left"/>
    </xf>
    <xf numFmtId="43" fontId="5" fillId="0" borderId="0" xfId="0" applyNumberFormat="1" applyFont="1" applyFill="1" applyAlignment="1">
      <alignment horizontal="center" vertical="center" wrapText="1"/>
    </xf>
    <xf numFmtId="43" fontId="9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wrapText="1"/>
    </xf>
    <xf numFmtId="43" fontId="5" fillId="0" borderId="0" xfId="0" applyNumberFormat="1" applyFont="1" applyFill="1" applyAlignment="1">
      <alignment vertical="center"/>
    </xf>
    <xf numFmtId="43" fontId="3" fillId="34" borderId="15" xfId="69" applyNumberFormat="1" applyFont="1" applyFill="1" applyBorder="1" applyAlignment="1">
      <alignment horizontal="right"/>
    </xf>
    <xf numFmtId="43" fontId="74" fillId="0" borderId="0" xfId="0" applyNumberFormat="1" applyFont="1" applyFill="1" applyAlignment="1">
      <alignment/>
    </xf>
    <xf numFmtId="43" fontId="5" fillId="0" borderId="21" xfId="0" applyNumberFormat="1" applyFont="1" applyBorder="1" applyAlignment="1">
      <alignment horizontal="justify" vertical="top" wrapText="1"/>
    </xf>
    <xf numFmtId="43" fontId="3" fillId="0" borderId="15" xfId="69" applyNumberFormat="1" applyFont="1" applyBorder="1" applyAlignment="1">
      <alignment horizontal="right"/>
    </xf>
    <xf numFmtId="43" fontId="5" fillId="0" borderId="0" xfId="0" applyNumberFormat="1" applyFont="1" applyFill="1" applyBorder="1" applyAlignment="1">
      <alignment vertical="center"/>
    </xf>
    <xf numFmtId="43" fontId="5" fillId="0" borderId="12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 wrapText="1"/>
    </xf>
    <xf numFmtId="43" fontId="3" fillId="0" borderId="12" xfId="69" applyNumberFormat="1" applyFont="1" applyBorder="1" applyAlignment="1">
      <alignment horizontal="right"/>
    </xf>
    <xf numFmtId="43" fontId="5" fillId="0" borderId="11" xfId="0" applyNumberFormat="1" applyFont="1" applyBorder="1" applyAlignment="1">
      <alignment wrapText="1"/>
    </xf>
    <xf numFmtId="43" fontId="3" fillId="0" borderId="23" xfId="69" applyNumberFormat="1" applyFont="1" applyBorder="1" applyAlignment="1">
      <alignment horizontal="right"/>
    </xf>
    <xf numFmtId="43" fontId="5" fillId="0" borderId="0" xfId="0" applyNumberFormat="1" applyFont="1" applyBorder="1" applyAlignment="1">
      <alignment vertical="top" wrapText="1"/>
    </xf>
    <xf numFmtId="43" fontId="5" fillId="0" borderId="0" xfId="0" applyNumberFormat="1" applyFont="1" applyBorder="1" applyAlignment="1">
      <alignment horizontal="center" vertical="top"/>
    </xf>
    <xf numFmtId="43" fontId="5" fillId="0" borderId="0" xfId="0" applyNumberFormat="1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wrapText="1"/>
    </xf>
    <xf numFmtId="43" fontId="3" fillId="0" borderId="22" xfId="69" applyNumberFormat="1" applyFont="1" applyBorder="1" applyAlignment="1">
      <alignment/>
    </xf>
    <xf numFmtId="43" fontId="3" fillId="0" borderId="12" xfId="69" applyNumberFormat="1" applyFont="1" applyBorder="1" applyAlignment="1">
      <alignment/>
    </xf>
    <xf numFmtId="43" fontId="5" fillId="0" borderId="21" xfId="0" applyNumberFormat="1" applyFont="1" applyBorder="1" applyAlignment="1">
      <alignment wrapText="1"/>
    </xf>
    <xf numFmtId="43" fontId="3" fillId="0" borderId="23" xfId="69" applyNumberFormat="1" applyFont="1" applyBorder="1" applyAlignment="1">
      <alignment/>
    </xf>
    <xf numFmtId="43" fontId="3" fillId="0" borderId="0" xfId="69" applyNumberFormat="1" applyFont="1" applyBorder="1" applyAlignment="1">
      <alignment horizontal="right" wrapText="1"/>
    </xf>
    <xf numFmtId="43" fontId="5" fillId="0" borderId="22" xfId="0" applyNumberFormat="1" applyFont="1" applyBorder="1" applyAlignment="1">
      <alignment wrapText="1"/>
    </xf>
    <xf numFmtId="43" fontId="3" fillId="0" borderId="14" xfId="69" applyNumberFormat="1" applyFont="1" applyBorder="1" applyAlignment="1">
      <alignment/>
    </xf>
    <xf numFmtId="43" fontId="5" fillId="0" borderId="20" xfId="0" applyNumberFormat="1" applyFont="1" applyBorder="1" applyAlignment="1">
      <alignment wrapText="1"/>
    </xf>
    <xf numFmtId="43" fontId="3" fillId="0" borderId="12" xfId="69" applyNumberFormat="1" applyFont="1" applyBorder="1" applyAlignment="1">
      <alignment horizontal="right" wrapText="1"/>
    </xf>
    <xf numFmtId="43" fontId="5" fillId="0" borderId="0" xfId="0" applyNumberFormat="1" applyFont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vertical="top"/>
    </xf>
    <xf numFmtId="43" fontId="5" fillId="0" borderId="0" xfId="0" applyNumberFormat="1" applyFont="1" applyFill="1" applyBorder="1" applyAlignment="1">
      <alignment vertical="center" wrapText="1"/>
    </xf>
    <xf numFmtId="43" fontId="3" fillId="33" borderId="0" xfId="69" applyNumberFormat="1" applyFont="1" applyFill="1" applyBorder="1" applyAlignment="1">
      <alignment horizontal="right"/>
    </xf>
    <xf numFmtId="43" fontId="5" fillId="0" borderId="0" xfId="0" applyNumberFormat="1" applyFont="1" applyFill="1" applyAlignment="1">
      <alignment horizontal="left" vertical="top"/>
    </xf>
    <xf numFmtId="43" fontId="5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vertical="center"/>
    </xf>
    <xf numFmtId="43" fontId="3" fillId="0" borderId="22" xfId="66" applyNumberFormat="1" applyFont="1" applyFill="1" applyBorder="1" applyAlignment="1">
      <alignment/>
    </xf>
    <xf numFmtId="43" fontId="3" fillId="0" borderId="13" xfId="66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left"/>
    </xf>
    <xf numFmtId="43" fontId="3" fillId="0" borderId="12" xfId="66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left" indent="2"/>
    </xf>
    <xf numFmtId="43" fontId="5" fillId="0" borderId="0" xfId="66" applyNumberFormat="1" applyFont="1" applyFill="1" applyBorder="1" applyAlignment="1">
      <alignment horizontal="right"/>
    </xf>
    <xf numFmtId="43" fontId="9" fillId="0" borderId="0" xfId="0" applyNumberFormat="1" applyFont="1" applyFill="1" applyAlignment="1">
      <alignment horizontal="center" vertical="center"/>
    </xf>
    <xf numFmtId="43" fontId="3" fillId="35" borderId="19" xfId="66" applyNumberFormat="1" applyFont="1" applyFill="1" applyBorder="1" applyAlignment="1">
      <alignment horizontal="right"/>
    </xf>
    <xf numFmtId="43" fontId="3" fillId="35" borderId="0" xfId="66" applyNumberFormat="1" applyFont="1" applyFill="1" applyBorder="1" applyAlignment="1">
      <alignment horizontal="right"/>
    </xf>
    <xf numFmtId="43" fontId="5" fillId="0" borderId="19" xfId="0" applyNumberFormat="1" applyFont="1" applyFill="1" applyBorder="1" applyAlignment="1">
      <alignment vertical="center"/>
    </xf>
    <xf numFmtId="43" fontId="5" fillId="0" borderId="12" xfId="50" applyNumberFormat="1" applyFont="1" applyFill="1" applyBorder="1" applyAlignment="1">
      <alignment/>
      <protection/>
    </xf>
    <xf numFmtId="43" fontId="3" fillId="0" borderId="0" xfId="66" applyNumberFormat="1" applyFont="1" applyFill="1" applyAlignment="1">
      <alignment/>
    </xf>
    <xf numFmtId="43" fontId="3" fillId="35" borderId="17" xfId="66" applyNumberFormat="1" applyFont="1" applyFill="1" applyBorder="1" applyAlignment="1">
      <alignment horizontal="right"/>
    </xf>
    <xf numFmtId="43" fontId="3" fillId="35" borderId="22" xfId="66" applyNumberFormat="1" applyFont="1" applyFill="1" applyBorder="1" applyAlignment="1">
      <alignment horizontal="right"/>
    </xf>
    <xf numFmtId="43" fontId="3" fillId="35" borderId="14" xfId="66" applyNumberFormat="1" applyFont="1" applyFill="1" applyBorder="1" applyAlignment="1">
      <alignment horizontal="right"/>
    </xf>
    <xf numFmtId="43" fontId="17" fillId="0" borderId="0" xfId="0" applyNumberFormat="1" applyFont="1" applyFill="1" applyAlignment="1">
      <alignment horizontal="center" vertical="center"/>
    </xf>
    <xf numFmtId="43" fontId="5" fillId="0" borderId="24" xfId="0" applyNumberFormat="1" applyFont="1" applyFill="1" applyBorder="1" applyAlignment="1">
      <alignment wrapText="1"/>
    </xf>
    <xf numFmtId="43" fontId="3" fillId="0" borderId="0" xfId="66" applyNumberFormat="1" applyFont="1" applyFill="1" applyBorder="1" applyAlignment="1">
      <alignment wrapText="1"/>
    </xf>
    <xf numFmtId="43" fontId="5" fillId="0" borderId="23" xfId="50" applyNumberFormat="1" applyFont="1" applyFill="1" applyBorder="1" applyAlignment="1">
      <alignment/>
      <protection/>
    </xf>
    <xf numFmtId="43" fontId="5" fillId="0" borderId="15" xfId="50" applyNumberFormat="1" applyFont="1" applyFill="1" applyBorder="1" applyAlignment="1">
      <alignment horizontal="left" wrapText="1"/>
      <protection/>
    </xf>
    <xf numFmtId="43" fontId="9" fillId="0" borderId="0" xfId="50" applyNumberFormat="1" applyFont="1" applyFill="1" applyBorder="1" applyAlignment="1">
      <alignment vertical="center"/>
      <protection/>
    </xf>
    <xf numFmtId="43" fontId="5" fillId="0" borderId="0" xfId="50" applyNumberFormat="1" applyFont="1" applyFill="1" applyBorder="1" applyAlignment="1">
      <alignment horizontal="left" wrapText="1"/>
      <protection/>
    </xf>
    <xf numFmtId="43" fontId="9" fillId="0" borderId="0" xfId="50" applyNumberFormat="1" applyFont="1" applyFill="1" applyBorder="1" applyAlignment="1">
      <alignment horizontal="center" vertical="center"/>
      <protection/>
    </xf>
    <xf numFmtId="43" fontId="22" fillId="0" borderId="0" xfId="50" applyNumberFormat="1" applyFont="1" applyFill="1" applyBorder="1" applyAlignment="1">
      <alignment vertical="center"/>
      <protection/>
    </xf>
    <xf numFmtId="43" fontId="5" fillId="0" borderId="0" xfId="50" applyNumberFormat="1" applyFont="1" applyFill="1" applyBorder="1" applyAlignment="1">
      <alignment wrapText="1"/>
      <protection/>
    </xf>
    <xf numFmtId="43" fontId="5" fillId="0" borderId="22" xfId="50" applyNumberFormat="1" applyFont="1" applyFill="1" applyBorder="1" applyAlignment="1">
      <alignment/>
      <protection/>
    </xf>
    <xf numFmtId="43" fontId="5" fillId="0" borderId="0" xfId="50" applyNumberFormat="1" applyFont="1" applyFill="1" applyBorder="1" applyAlignment="1">
      <alignment horizontal="center" vertical="center"/>
      <protection/>
    </xf>
    <xf numFmtId="43" fontId="5" fillId="0" borderId="12" xfId="50" applyNumberFormat="1" applyFont="1" applyFill="1" applyBorder="1" applyAlignment="1">
      <alignment vertical="center"/>
      <protection/>
    </xf>
    <xf numFmtId="43" fontId="9" fillId="0" borderId="22" xfId="50" applyNumberFormat="1" applyFont="1" applyFill="1" applyBorder="1" applyAlignment="1">
      <alignment vertical="center"/>
      <protection/>
    </xf>
    <xf numFmtId="43" fontId="9" fillId="0" borderId="12" xfId="50" applyNumberFormat="1" applyFont="1" applyFill="1" applyBorder="1" applyAlignment="1">
      <alignment vertical="center"/>
      <protection/>
    </xf>
    <xf numFmtId="43" fontId="5" fillId="0" borderId="14" xfId="50" applyNumberFormat="1" applyFont="1" applyFill="1" applyBorder="1" applyAlignment="1">
      <alignment/>
      <protection/>
    </xf>
    <xf numFmtId="43" fontId="5" fillId="0" borderId="0" xfId="50" applyNumberFormat="1" applyFont="1" applyFill="1" applyBorder="1" applyAlignment="1">
      <alignment horizontal="right" vertical="center"/>
      <protection/>
    </xf>
    <xf numFmtId="43" fontId="5" fillId="0" borderId="12" xfId="50" applyNumberFormat="1" applyFont="1" applyFill="1" applyBorder="1" applyAlignment="1">
      <alignment horizontal="center" vertical="center"/>
      <protection/>
    </xf>
    <xf numFmtId="43" fontId="3" fillId="0" borderId="0" xfId="66" applyNumberFormat="1" applyFont="1" applyFill="1" applyBorder="1" applyAlignment="1">
      <alignment horizontal="center" vertical="center"/>
    </xf>
    <xf numFmtId="43" fontId="3" fillId="0" borderId="19" xfId="50" applyNumberFormat="1" applyFont="1" applyFill="1" applyBorder="1" applyAlignment="1">
      <alignment vertical="center"/>
      <protection/>
    </xf>
    <xf numFmtId="43" fontId="3" fillId="0" borderId="0" xfId="50" applyNumberFormat="1" applyFont="1" applyFill="1" applyBorder="1" applyAlignment="1">
      <alignment vertical="center"/>
      <protection/>
    </xf>
    <xf numFmtId="43" fontId="5" fillId="0" borderId="13" xfId="0" applyNumberFormat="1" applyFont="1" applyFill="1" applyBorder="1" applyAlignment="1">
      <alignment horizontal="left" wrapText="1"/>
    </xf>
    <xf numFmtId="43" fontId="5" fillId="0" borderId="12" xfId="0" applyNumberFormat="1" applyFont="1" applyBorder="1" applyAlignment="1">
      <alignment horizontal="left" wrapText="1"/>
    </xf>
    <xf numFmtId="43" fontId="3" fillId="0" borderId="19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horizontal="left" vertical="center"/>
    </xf>
    <xf numFmtId="43" fontId="12" fillId="0" borderId="0" xfId="0" applyNumberFormat="1" applyFont="1" applyFill="1" applyBorder="1" applyAlignment="1">
      <alignment vertical="center"/>
    </xf>
    <xf numFmtId="43" fontId="5" fillId="35" borderId="14" xfId="0" applyNumberFormat="1" applyFont="1" applyFill="1" applyBorder="1" applyAlignment="1">
      <alignment vertical="center"/>
    </xf>
    <xf numFmtId="43" fontId="12" fillId="35" borderId="13" xfId="0" applyNumberFormat="1" applyFont="1" applyFill="1" applyBorder="1" applyAlignment="1">
      <alignment horizontal="center" vertical="center"/>
    </xf>
    <xf numFmtId="43" fontId="5" fillId="35" borderId="14" xfId="0" applyNumberFormat="1" applyFont="1" applyFill="1" applyBorder="1" applyAlignment="1">
      <alignment horizontal="center" vertical="center"/>
    </xf>
    <xf numFmtId="43" fontId="5" fillId="35" borderId="20" xfId="0" applyNumberFormat="1" applyFont="1" applyFill="1" applyBorder="1" applyAlignment="1">
      <alignment vertical="center"/>
    </xf>
    <xf numFmtId="43" fontId="5" fillId="35" borderId="20" xfId="0" applyNumberFormat="1" applyFont="1" applyFill="1" applyBorder="1" applyAlignment="1">
      <alignment horizontal="center" vertical="center" wrapText="1"/>
    </xf>
    <xf numFmtId="43" fontId="5" fillId="35" borderId="20" xfId="0" applyNumberFormat="1" applyFont="1" applyFill="1" applyBorder="1" applyAlignment="1">
      <alignment horizontal="center" vertical="center"/>
    </xf>
    <xf numFmtId="43" fontId="9" fillId="35" borderId="15" xfId="0" applyNumberFormat="1" applyFont="1" applyFill="1" applyBorder="1" applyAlignment="1">
      <alignment/>
    </xf>
    <xf numFmtId="43" fontId="9" fillId="35" borderId="16" xfId="0" applyNumberFormat="1" applyFont="1" applyFill="1" applyBorder="1" applyAlignment="1">
      <alignment/>
    </xf>
    <xf numFmtId="43" fontId="9" fillId="35" borderId="15" xfId="0" applyNumberFormat="1" applyFont="1" applyFill="1" applyBorder="1" applyAlignment="1">
      <alignment horizontal="center"/>
    </xf>
    <xf numFmtId="43" fontId="9" fillId="35" borderId="15" xfId="0" applyNumberFormat="1" applyFont="1" applyFill="1" applyBorder="1" applyAlignment="1">
      <alignment/>
    </xf>
    <xf numFmtId="43" fontId="5" fillId="0" borderId="10" xfId="50" applyNumberFormat="1" applyFont="1" applyFill="1" applyBorder="1" applyAlignment="1">
      <alignment horizontal="center" vertical="center"/>
      <protection/>
    </xf>
    <xf numFmtId="43" fontId="5" fillId="35" borderId="13" xfId="0" applyNumberFormat="1" applyFont="1" applyFill="1" applyBorder="1" applyAlignment="1">
      <alignment horizontal="center" vertical="center"/>
    </xf>
    <xf numFmtId="43" fontId="5" fillId="35" borderId="22" xfId="0" applyNumberFormat="1" applyFont="1" applyFill="1" applyBorder="1" applyAlignment="1">
      <alignment horizontal="center" vertical="center"/>
    </xf>
    <xf numFmtId="43" fontId="5" fillId="35" borderId="22" xfId="0" applyNumberFormat="1" applyFont="1" applyFill="1" applyBorder="1" applyAlignment="1">
      <alignment horizontal="center" vertical="center" wrapText="1"/>
    </xf>
    <xf numFmtId="43" fontId="5" fillId="35" borderId="23" xfId="0" applyNumberFormat="1" applyFont="1" applyFill="1" applyBorder="1" applyAlignment="1">
      <alignment horizontal="center" vertical="center" wrapText="1"/>
    </xf>
    <xf numFmtId="43" fontId="5" fillId="35" borderId="23" xfId="0" applyNumberFormat="1" applyFont="1" applyFill="1" applyBorder="1" applyAlignment="1">
      <alignment horizontal="center" vertical="center"/>
    </xf>
    <xf numFmtId="43" fontId="9" fillId="35" borderId="16" xfId="0" applyNumberFormat="1" applyFont="1" applyFill="1" applyBorder="1" applyAlignment="1">
      <alignment/>
    </xf>
    <xf numFmtId="43" fontId="5" fillId="35" borderId="15" xfId="0" applyNumberFormat="1" applyFont="1" applyFill="1" applyBorder="1" applyAlignment="1">
      <alignment vertical="center"/>
    </xf>
    <xf numFmtId="43" fontId="5" fillId="35" borderId="16" xfId="0" applyNumberFormat="1" applyFont="1" applyFill="1" applyBorder="1" applyAlignment="1">
      <alignment vertical="center"/>
    </xf>
    <xf numFmtId="43" fontId="5" fillId="36" borderId="16" xfId="0" applyNumberFormat="1" applyFont="1" applyFill="1" applyBorder="1" applyAlignment="1">
      <alignment horizontal="center" vertical="center"/>
    </xf>
    <xf numFmtId="43" fontId="5" fillId="36" borderId="15" xfId="0" applyNumberFormat="1" applyFont="1" applyFill="1" applyBorder="1" applyAlignment="1">
      <alignment horizontal="center" vertical="center"/>
    </xf>
    <xf numFmtId="43" fontId="9" fillId="0" borderId="19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43" fontId="12" fillId="35" borderId="22" xfId="0" applyNumberFormat="1" applyFont="1" applyFill="1" applyBorder="1" applyAlignment="1">
      <alignment vertical="center" wrapText="1"/>
    </xf>
    <xf numFmtId="43" fontId="5" fillId="0" borderId="16" xfId="0" applyNumberFormat="1" applyFont="1" applyFill="1" applyBorder="1" applyAlignment="1">
      <alignment wrapText="1"/>
    </xf>
    <xf numFmtId="43" fontId="5" fillId="0" borderId="20" xfId="0" applyNumberFormat="1" applyFont="1" applyFill="1" applyBorder="1" applyAlignment="1">
      <alignment horizontal="center" vertical="center"/>
    </xf>
    <xf numFmtId="43" fontId="5" fillId="35" borderId="13" xfId="0" applyNumberFormat="1" applyFont="1" applyFill="1" applyBorder="1" applyAlignment="1">
      <alignment vertical="center"/>
    </xf>
    <xf numFmtId="43" fontId="5" fillId="35" borderId="12" xfId="0" applyNumberFormat="1" applyFont="1" applyFill="1" applyBorder="1" applyAlignment="1">
      <alignment horizontal="center"/>
    </xf>
    <xf numFmtId="43" fontId="5" fillId="35" borderId="14" xfId="0" applyNumberFormat="1" applyFont="1" applyFill="1" applyBorder="1" applyAlignment="1">
      <alignment horizontal="center"/>
    </xf>
    <xf numFmtId="43" fontId="5" fillId="0" borderId="15" xfId="0" applyNumberFormat="1" applyFont="1" applyFill="1" applyBorder="1" applyAlignment="1">
      <alignment vertical="center"/>
    </xf>
    <xf numFmtId="43" fontId="5" fillId="0" borderId="16" xfId="0" applyNumberFormat="1" applyFont="1" applyFill="1" applyBorder="1" applyAlignment="1">
      <alignment/>
    </xf>
    <xf numFmtId="43" fontId="5" fillId="0" borderId="15" xfId="0" applyNumberFormat="1" applyFont="1" applyFill="1" applyBorder="1" applyAlignment="1">
      <alignment/>
    </xf>
    <xf numFmtId="43" fontId="5" fillId="35" borderId="14" xfId="0" applyNumberFormat="1" applyFont="1" applyFill="1" applyBorder="1" applyAlignment="1">
      <alignment vertical="center" wrapText="1"/>
    </xf>
    <xf numFmtId="43" fontId="5" fillId="0" borderId="15" xfId="0" applyNumberFormat="1" applyFont="1" applyFill="1" applyBorder="1" applyAlignment="1">
      <alignment vertical="center" wrapText="1"/>
    </xf>
    <xf numFmtId="43" fontId="13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wrapText="1"/>
    </xf>
    <xf numFmtId="43" fontId="3" fillId="0" borderId="10" xfId="66" applyNumberFormat="1" applyFont="1" applyFill="1" applyBorder="1" applyAlignment="1">
      <alignment/>
    </xf>
    <xf numFmtId="43" fontId="3" fillId="0" borderId="13" xfId="66" applyNumberFormat="1" applyFont="1" applyFill="1" applyBorder="1" applyAlignment="1">
      <alignment wrapText="1"/>
    </xf>
    <xf numFmtId="43" fontId="3" fillId="0" borderId="10" xfId="66" applyNumberFormat="1" applyFont="1" applyFill="1" applyBorder="1" applyAlignment="1">
      <alignment wrapText="1"/>
    </xf>
    <xf numFmtId="43" fontId="3" fillId="0" borderId="12" xfId="66" applyNumberFormat="1" applyFont="1" applyFill="1" applyBorder="1" applyAlignment="1">
      <alignment wrapText="1"/>
    </xf>
    <xf numFmtId="43" fontId="3" fillId="0" borderId="13" xfId="66" applyNumberFormat="1" applyFont="1" applyFill="1" applyBorder="1" applyAlignment="1">
      <alignment horizontal="right" wrapText="1"/>
    </xf>
    <xf numFmtId="43" fontId="3" fillId="0" borderId="10" xfId="66" applyNumberFormat="1" applyFont="1" applyFill="1" applyBorder="1" applyAlignment="1">
      <alignment horizontal="right" wrapText="1"/>
    </xf>
    <xf numFmtId="43" fontId="3" fillId="0" borderId="12" xfId="66" applyNumberFormat="1" applyFont="1" applyFill="1" applyBorder="1" applyAlignment="1">
      <alignment horizontal="right" wrapText="1"/>
    </xf>
    <xf numFmtId="43" fontId="0" fillId="0" borderId="0" xfId="50" applyNumberFormat="1" applyFont="1" applyFill="1" applyBorder="1" applyAlignment="1">
      <alignment/>
      <protection/>
    </xf>
    <xf numFmtId="43" fontId="11" fillId="0" borderId="0" xfId="50" applyNumberFormat="1" applyFont="1" applyFill="1" applyAlignment="1">
      <alignment horizontal="left"/>
      <protection/>
    </xf>
    <xf numFmtId="43" fontId="9" fillId="0" borderId="0" xfId="50" applyNumberFormat="1" applyFont="1" applyFill="1" applyAlignment="1">
      <alignment/>
      <protection/>
    </xf>
    <xf numFmtId="43" fontId="5" fillId="0" borderId="0" xfId="50" applyNumberFormat="1" applyFont="1" applyFill="1" applyAlignment="1">
      <alignment horizontal="left" vertical="top" wrapText="1"/>
      <protection/>
    </xf>
    <xf numFmtId="43" fontId="13" fillId="0" borderId="0" xfId="50" applyNumberFormat="1" applyFont="1" applyFill="1" applyAlignment="1">
      <alignment/>
      <protection/>
    </xf>
    <xf numFmtId="43" fontId="5" fillId="0" borderId="0" xfId="50" applyNumberFormat="1" applyFont="1" applyFill="1" applyAlignment="1">
      <alignment horizontal="left"/>
      <protection/>
    </xf>
    <xf numFmtId="43" fontId="9" fillId="0" borderId="0" xfId="50" applyNumberFormat="1" applyFont="1" applyFill="1" applyAlignment="1">
      <alignment horizontal="left"/>
      <protection/>
    </xf>
    <xf numFmtId="43" fontId="73" fillId="0" borderId="0" xfId="50" applyNumberFormat="1" applyFont="1" applyFill="1" applyAlignment="1">
      <alignment/>
      <protection/>
    </xf>
    <xf numFmtId="43" fontId="5" fillId="0" borderId="0" xfId="50" applyNumberFormat="1" applyFont="1" applyFill="1" applyAlignment="1">
      <alignment horizontal="center"/>
      <protection/>
    </xf>
    <xf numFmtId="43" fontId="5" fillId="0" borderId="0" xfId="50" applyNumberFormat="1" applyFont="1" applyFill="1" applyAlignment="1">
      <alignment horizontal="right"/>
      <protection/>
    </xf>
    <xf numFmtId="43" fontId="5" fillId="0" borderId="0" xfId="51" applyNumberFormat="1" applyFont="1" applyFill="1" applyBorder="1" applyAlignment="1">
      <alignment vertical="center"/>
      <protection/>
    </xf>
    <xf numFmtId="43" fontId="5" fillId="0" borderId="0" xfId="51" applyNumberFormat="1" applyFont="1" applyFill="1" applyBorder="1" applyAlignment="1">
      <alignment horizontal="center" wrapText="1"/>
      <protection/>
    </xf>
    <xf numFmtId="43" fontId="5" fillId="0" borderId="0" xfId="51" applyNumberFormat="1" applyFont="1" applyFill="1" applyBorder="1" applyAlignment="1">
      <alignment horizontal="center"/>
      <protection/>
    </xf>
    <xf numFmtId="43" fontId="5" fillId="0" borderId="0" xfId="50" applyNumberFormat="1" applyFont="1" applyFill="1" applyAlignment="1">
      <alignment vertical="center"/>
      <protection/>
    </xf>
    <xf numFmtId="43" fontId="14" fillId="0" borderId="0" xfId="50" applyNumberFormat="1" applyFont="1" applyFill="1" applyAlignment="1">
      <alignment/>
      <protection/>
    </xf>
    <xf numFmtId="43" fontId="5" fillId="0" borderId="0" xfId="50" applyNumberFormat="1" applyFont="1" applyAlignment="1">
      <alignment/>
      <protection/>
    </xf>
    <xf numFmtId="43" fontId="14" fillId="0" borderId="0" xfId="50" applyNumberFormat="1" applyFont="1" applyFill="1" applyAlignment="1">
      <alignment horizontal="left"/>
      <protection/>
    </xf>
    <xf numFmtId="43" fontId="5" fillId="0" borderId="0" xfId="0" applyNumberFormat="1" applyFont="1" applyFill="1" applyBorder="1" applyAlignment="1">
      <alignment horizontal="left" vertical="center"/>
    </xf>
    <xf numFmtId="43" fontId="11" fillId="0" borderId="0" xfId="50" applyNumberFormat="1" applyFont="1" applyBorder="1" applyAlignment="1">
      <alignment horizontal="left" vertical="top"/>
      <protection/>
    </xf>
    <xf numFmtId="43" fontId="5" fillId="0" borderId="0" xfId="50" applyNumberFormat="1" applyFont="1" applyBorder="1" applyAlignment="1">
      <alignment horizontal="right" vertical="top" wrapText="1"/>
      <protection/>
    </xf>
    <xf numFmtId="43" fontId="5" fillId="0" borderId="0" xfId="50" applyNumberFormat="1" applyFont="1" applyAlignment="1">
      <alignment horizontal="left" vertical="top" wrapText="1"/>
      <protection/>
    </xf>
    <xf numFmtId="43" fontId="13" fillId="0" borderId="0" xfId="50" applyNumberFormat="1" applyFont="1" applyFill="1" applyBorder="1" applyAlignment="1">
      <alignment/>
      <protection/>
    </xf>
    <xf numFmtId="43" fontId="5" fillId="0" borderId="0" xfId="50" applyNumberFormat="1" applyFont="1" applyAlignment="1">
      <alignment wrapText="1"/>
      <protection/>
    </xf>
    <xf numFmtId="43" fontId="9" fillId="0" borderId="0" xfId="50" applyNumberFormat="1" applyFont="1" applyAlignment="1">
      <alignment horizontal="left" vertical="top" wrapText="1"/>
      <protection/>
    </xf>
    <xf numFmtId="43" fontId="5" fillId="0" borderId="0" xfId="50" applyNumberFormat="1" applyFont="1" applyAlignment="1">
      <alignment vertical="top" wrapText="1"/>
      <protection/>
    </xf>
    <xf numFmtId="43" fontId="73" fillId="0" borderId="0" xfId="50" applyNumberFormat="1" applyFont="1" applyAlignment="1">
      <alignment vertical="top" wrapText="1"/>
      <protection/>
    </xf>
    <xf numFmtId="43" fontId="5" fillId="0" borderId="0" xfId="50" applyNumberFormat="1" applyFont="1" applyAlignment="1">
      <alignment horizontal="right" vertical="top" wrapText="1"/>
      <protection/>
    </xf>
    <xf numFmtId="43" fontId="5" fillId="0" borderId="15" xfId="50" applyNumberFormat="1" applyFont="1" applyBorder="1" applyAlignment="1">
      <alignment horizontal="left" wrapText="1"/>
      <protection/>
    </xf>
    <xf numFmtId="43" fontId="3" fillId="0" borderId="23" xfId="66" applyNumberFormat="1" applyFont="1" applyBorder="1" applyAlignment="1">
      <alignment horizontal="right"/>
    </xf>
    <xf numFmtId="43" fontId="3" fillId="0" borderId="20" xfId="66" applyNumberFormat="1" applyFont="1" applyBorder="1" applyAlignment="1">
      <alignment horizontal="right"/>
    </xf>
    <xf numFmtId="43" fontId="3" fillId="0" borderId="11" xfId="66" applyNumberFormat="1" applyFont="1" applyBorder="1" applyAlignment="1">
      <alignment horizontal="right"/>
    </xf>
    <xf numFmtId="43" fontId="3" fillId="0" borderId="15" xfId="66" applyNumberFormat="1" applyFont="1" applyBorder="1" applyAlignment="1">
      <alignment horizontal="right"/>
    </xf>
    <xf numFmtId="43" fontId="3" fillId="0" borderId="16" xfId="66" applyNumberFormat="1" applyFont="1" applyBorder="1" applyAlignment="1">
      <alignment horizontal="right"/>
    </xf>
    <xf numFmtId="43" fontId="14" fillId="0" borderId="0" xfId="50" applyNumberFormat="1" applyFont="1" applyAlignment="1">
      <alignment vertical="top" wrapText="1"/>
      <protection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5" fillId="0" borderId="21" xfId="0" applyNumberFormat="1" applyFont="1" applyFill="1" applyBorder="1" applyAlignment="1">
      <alignment horizontal="right"/>
    </xf>
    <xf numFmtId="43" fontId="3" fillId="0" borderId="14" xfId="0" applyNumberFormat="1" applyFont="1" applyFill="1" applyBorder="1" applyAlignment="1">
      <alignment horizontal="center" vertical="center"/>
    </xf>
    <xf numFmtId="43" fontId="3" fillId="0" borderId="18" xfId="66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43" fontId="3" fillId="0" borderId="21" xfId="66" applyNumberFormat="1" applyFont="1" applyFill="1" applyBorder="1" applyAlignment="1">
      <alignment horizontal="right"/>
    </xf>
    <xf numFmtId="43" fontId="5" fillId="0" borderId="0" xfId="0" applyNumberFormat="1" applyFont="1" applyBorder="1" applyAlignment="1">
      <alignment horizontal="left" vertical="center" wrapText="1"/>
    </xf>
    <xf numFmtId="43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wrapText="1"/>
    </xf>
    <xf numFmtId="2" fontId="5" fillId="0" borderId="0" xfId="50" applyNumberFormat="1" applyFont="1" applyFill="1" applyAlignment="1">
      <alignment horizontal="left" vertical="top"/>
      <protection/>
    </xf>
    <xf numFmtId="2" fontId="5" fillId="0" borderId="0" xfId="50" applyNumberFormat="1" applyFont="1" applyFill="1" applyAlignment="1">
      <alignment/>
      <protection/>
    </xf>
    <xf numFmtId="2" fontId="5" fillId="0" borderId="0" xfId="50" applyNumberFormat="1" applyFont="1" applyFill="1" applyBorder="1" applyAlignment="1">
      <alignment/>
      <protection/>
    </xf>
    <xf numFmtId="2" fontId="11" fillId="0" borderId="0" xfId="50" applyNumberFormat="1" applyFont="1" applyFill="1" applyAlignment="1">
      <alignment/>
      <protection/>
    </xf>
    <xf numFmtId="2" fontId="3" fillId="0" borderId="0" xfId="50" applyNumberFormat="1" applyFont="1" applyFill="1" applyAlignment="1">
      <alignment/>
      <protection/>
    </xf>
    <xf numFmtId="2" fontId="5" fillId="0" borderId="0" xfId="50" applyNumberFormat="1" applyFont="1" applyFill="1" applyAlignment="1">
      <alignment horizontal="left"/>
      <protection/>
    </xf>
    <xf numFmtId="2" fontId="3" fillId="0" borderId="0" xfId="50" applyNumberFormat="1" applyFont="1" applyFill="1" applyBorder="1" applyAlignment="1">
      <alignment/>
      <protection/>
    </xf>
    <xf numFmtId="2" fontId="9" fillId="0" borderId="0" xfId="50" applyNumberFormat="1" applyFont="1" applyFill="1" applyAlignment="1">
      <alignment horizontal="left"/>
      <protection/>
    </xf>
    <xf numFmtId="2" fontId="73" fillId="0" borderId="0" xfId="50" applyNumberFormat="1" applyFont="1" applyFill="1" applyAlignment="1">
      <alignment/>
      <protection/>
    </xf>
    <xf numFmtId="2" fontId="5" fillId="0" borderId="0" xfId="50" applyNumberFormat="1" applyFont="1" applyFill="1">
      <alignment/>
      <protection/>
    </xf>
    <xf numFmtId="2" fontId="5" fillId="0" borderId="0" xfId="50" applyNumberFormat="1" applyFont="1" applyFill="1" applyAlignment="1">
      <alignment horizontal="right"/>
      <protection/>
    </xf>
    <xf numFmtId="2" fontId="3" fillId="0" borderId="18" xfId="50" applyNumberFormat="1" applyFont="1" applyFill="1" applyBorder="1" applyAlignment="1">
      <alignment/>
      <protection/>
    </xf>
    <xf numFmtId="2" fontId="3" fillId="0" borderId="13" xfId="66" applyNumberFormat="1" applyFont="1" applyFill="1" applyBorder="1" applyAlignment="1">
      <alignment horizontal="right"/>
    </xf>
    <xf numFmtId="2" fontId="3" fillId="0" borderId="22" xfId="66" applyNumberFormat="1" applyFont="1" applyFill="1" applyBorder="1" applyAlignment="1">
      <alignment horizontal="right"/>
    </xf>
    <xf numFmtId="2" fontId="3" fillId="0" borderId="10" xfId="50" applyNumberFormat="1" applyFont="1" applyFill="1" applyBorder="1" applyAlignment="1">
      <alignment/>
      <protection/>
    </xf>
    <xf numFmtId="2" fontId="3" fillId="0" borderId="12" xfId="66" applyNumberFormat="1" applyFont="1" applyFill="1" applyBorder="1" applyAlignment="1">
      <alignment horizontal="right"/>
    </xf>
    <xf numFmtId="2" fontId="3" fillId="0" borderId="17" xfId="50" applyNumberFormat="1" applyFont="1" applyFill="1" applyBorder="1" applyAlignment="1">
      <alignment horizontal="left" indent="1"/>
      <protection/>
    </xf>
    <xf numFmtId="2" fontId="3" fillId="0" borderId="17" xfId="50" applyNumberFormat="1" applyFont="1" applyFill="1" applyBorder="1" applyAlignment="1">
      <alignment horizontal="center"/>
      <protection/>
    </xf>
    <xf numFmtId="2" fontId="3" fillId="0" borderId="0" xfId="50" applyNumberFormat="1" applyFont="1" applyFill="1" applyBorder="1" applyAlignment="1">
      <alignment horizontal="left" vertical="center" wrapText="1"/>
      <protection/>
    </xf>
    <xf numFmtId="2" fontId="3" fillId="0" borderId="19" xfId="50" applyNumberFormat="1" applyFont="1" applyFill="1" applyBorder="1" applyAlignment="1">
      <alignment/>
      <protection/>
    </xf>
    <xf numFmtId="2" fontId="3" fillId="0" borderId="20" xfId="50" applyNumberFormat="1" applyFont="1" applyFill="1" applyBorder="1" applyAlignment="1">
      <alignment/>
      <protection/>
    </xf>
    <xf numFmtId="2" fontId="3" fillId="0" borderId="15" xfId="66" applyNumberFormat="1" applyFont="1" applyFill="1" applyBorder="1" applyAlignment="1">
      <alignment horizontal="right"/>
    </xf>
    <xf numFmtId="2" fontId="3" fillId="0" borderId="17" xfId="66" applyNumberFormat="1" applyFont="1" applyFill="1" applyBorder="1" applyAlignment="1">
      <alignment horizontal="right"/>
    </xf>
    <xf numFmtId="2" fontId="5" fillId="0" borderId="0" xfId="50" applyNumberFormat="1" applyFont="1" applyBorder="1" applyAlignment="1">
      <alignment vertical="center" wrapText="1"/>
      <protection/>
    </xf>
    <xf numFmtId="43" fontId="3" fillId="0" borderId="0" xfId="0" applyNumberFormat="1" applyFont="1" applyFill="1" applyAlignment="1">
      <alignment horizontal="center"/>
    </xf>
    <xf numFmtId="43" fontId="5" fillId="0" borderId="0" xfId="0" applyNumberFormat="1" applyFont="1" applyAlignment="1">
      <alignment/>
    </xf>
    <xf numFmtId="43" fontId="5" fillId="33" borderId="0" xfId="0" applyNumberFormat="1" applyFont="1" applyFill="1" applyAlignment="1">
      <alignment/>
    </xf>
    <xf numFmtId="43" fontId="5" fillId="0" borderId="0" xfId="0" applyNumberFormat="1" applyFont="1" applyBorder="1" applyAlignment="1">
      <alignment/>
    </xf>
    <xf numFmtId="43" fontId="3" fillId="0" borderId="22" xfId="0" applyNumberFormat="1" applyFont="1" applyFill="1" applyBorder="1" applyAlignment="1">
      <alignment wrapText="1"/>
    </xf>
    <xf numFmtId="43" fontId="5" fillId="0" borderId="0" xfId="50" applyNumberFormat="1" applyFont="1" applyAlignment="1">
      <alignment vertical="center" wrapText="1"/>
      <protection/>
    </xf>
    <xf numFmtId="43" fontId="3" fillId="0" borderId="13" xfId="50" applyNumberFormat="1" applyFont="1" applyBorder="1" applyAlignment="1">
      <alignment horizontal="right" wrapText="1"/>
      <protection/>
    </xf>
    <xf numFmtId="43" fontId="5" fillId="0" borderId="0" xfId="50" applyNumberFormat="1" applyFont="1" applyBorder="1" applyAlignment="1">
      <alignment vertical="center" wrapText="1"/>
      <protection/>
    </xf>
    <xf numFmtId="43" fontId="5" fillId="0" borderId="0" xfId="50" applyNumberFormat="1" applyFont="1" applyAlignment="1">
      <alignment vertical="center"/>
      <protection/>
    </xf>
    <xf numFmtId="43" fontId="3" fillId="0" borderId="13" xfId="50" applyNumberFormat="1" applyFont="1" applyBorder="1" applyAlignment="1">
      <alignment horizontal="right"/>
      <protection/>
    </xf>
    <xf numFmtId="43" fontId="5" fillId="0" borderId="0" xfId="50" applyNumberFormat="1" applyFont="1" applyBorder="1" applyAlignment="1">
      <alignment vertical="center"/>
      <protection/>
    </xf>
    <xf numFmtId="43" fontId="3" fillId="33" borderId="12" xfId="0" applyNumberFormat="1" applyFont="1" applyFill="1" applyBorder="1" applyAlignment="1">
      <alignment wrapText="1"/>
    </xf>
    <xf numFmtId="43" fontId="3" fillId="33" borderId="23" xfId="0" applyNumberFormat="1" applyFont="1" applyFill="1" applyBorder="1" applyAlignment="1">
      <alignment wrapText="1"/>
    </xf>
    <xf numFmtId="43" fontId="2" fillId="0" borderId="16" xfId="0" applyNumberFormat="1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43" fontId="5" fillId="0" borderId="14" xfId="52" applyNumberFormat="1" applyFont="1" applyBorder="1" applyAlignment="1">
      <alignment vertical="top" wrapText="1"/>
      <protection/>
    </xf>
    <xf numFmtId="43" fontId="3" fillId="0" borderId="14" xfId="52" applyNumberFormat="1" applyFont="1" applyBorder="1" applyAlignment="1">
      <alignment horizontal="right"/>
      <protection/>
    </xf>
    <xf numFmtId="43" fontId="3" fillId="0" borderId="14" xfId="66" applyNumberFormat="1" applyFont="1" applyBorder="1" applyAlignment="1">
      <alignment horizontal="right"/>
    </xf>
    <xf numFmtId="43" fontId="5" fillId="33" borderId="13" xfId="52" applyNumberFormat="1" applyFont="1" applyFill="1" applyBorder="1" applyAlignment="1" applyProtection="1">
      <alignment vertical="center"/>
      <protection locked="0"/>
    </xf>
    <xf numFmtId="43" fontId="3" fillId="33" borderId="13" xfId="52" applyNumberFormat="1" applyFont="1" applyFill="1" applyBorder="1" applyAlignment="1" applyProtection="1">
      <alignment horizontal="right"/>
      <protection locked="0"/>
    </xf>
    <xf numFmtId="43" fontId="3" fillId="0" borderId="13" xfId="66" applyNumberFormat="1" applyFont="1" applyBorder="1" applyAlignment="1">
      <alignment horizontal="right"/>
    </xf>
    <xf numFmtId="43" fontId="5" fillId="0" borderId="13" xfId="52" applyNumberFormat="1" applyFont="1" applyBorder="1" applyAlignment="1">
      <alignment vertical="center" wrapText="1"/>
      <protection/>
    </xf>
    <xf numFmtId="43" fontId="3" fillId="0" borderId="13" xfId="52" applyNumberFormat="1" applyFont="1" applyBorder="1" applyAlignment="1">
      <alignment horizontal="right"/>
      <protection/>
    </xf>
    <xf numFmtId="43" fontId="5" fillId="33" borderId="20" xfId="52" applyNumberFormat="1" applyFont="1" applyFill="1" applyBorder="1" applyAlignment="1" applyProtection="1">
      <alignment vertical="center"/>
      <protection locked="0"/>
    </xf>
    <xf numFmtId="43" fontId="3" fillId="33" borderId="20" xfId="52" applyNumberFormat="1" applyFont="1" applyFill="1" applyBorder="1" applyAlignment="1" applyProtection="1">
      <alignment horizontal="right"/>
      <protection locked="0"/>
    </xf>
    <xf numFmtId="43" fontId="2" fillId="35" borderId="15" xfId="0" applyNumberFormat="1" applyFont="1" applyFill="1" applyBorder="1" applyAlignment="1">
      <alignment horizontal="left" vertical="center"/>
    </xf>
    <xf numFmtId="43" fontId="2" fillId="35" borderId="15" xfId="0" applyNumberFormat="1" applyFont="1" applyFill="1" applyBorder="1" applyAlignment="1">
      <alignment horizontal="right"/>
    </xf>
    <xf numFmtId="43" fontId="5" fillId="33" borderId="25" xfId="52" applyNumberFormat="1" applyFont="1" applyFill="1" applyBorder="1" applyAlignment="1" applyProtection="1">
      <alignment vertical="center"/>
      <protection locked="0"/>
    </xf>
    <xf numFmtId="43" fontId="3" fillId="33" borderId="14" xfId="66" applyNumberFormat="1" applyFont="1" applyFill="1" applyBorder="1" applyAlignment="1">
      <alignment horizontal="right"/>
    </xf>
    <xf numFmtId="43" fontId="3" fillId="33" borderId="22" xfId="66" applyNumberFormat="1" applyFont="1" applyFill="1" applyBorder="1" applyAlignment="1">
      <alignment horizontal="right"/>
    </xf>
    <xf numFmtId="43" fontId="5" fillId="33" borderId="0" xfId="52" applyNumberFormat="1" applyFont="1" applyFill="1" applyAlignment="1" applyProtection="1">
      <alignment vertical="center" wrapText="1"/>
      <protection locked="0"/>
    </xf>
    <xf numFmtId="43" fontId="3" fillId="33" borderId="13" xfId="66" applyNumberFormat="1" applyFont="1" applyFill="1" applyBorder="1" applyAlignment="1">
      <alignment horizontal="right"/>
    </xf>
    <xf numFmtId="43" fontId="3" fillId="33" borderId="12" xfId="66" applyNumberFormat="1" applyFont="1" applyFill="1" applyBorder="1" applyAlignment="1">
      <alignment horizontal="right"/>
    </xf>
    <xf numFmtId="43" fontId="5" fillId="33" borderId="10" xfId="52" applyNumberFormat="1" applyFont="1" applyFill="1" applyBorder="1" applyAlignment="1" applyProtection="1">
      <alignment vertical="center" wrapText="1"/>
      <protection locked="0"/>
    </xf>
    <xf numFmtId="43" fontId="23" fillId="0" borderId="14" xfId="52" applyNumberFormat="1" applyFont="1" applyBorder="1" applyAlignment="1">
      <alignment vertical="center" wrapText="1"/>
      <protection/>
    </xf>
    <xf numFmtId="43" fontId="3" fillId="0" borderId="14" xfId="0" applyNumberFormat="1" applyFont="1" applyFill="1" applyBorder="1" applyAlignment="1">
      <alignment horizontal="right"/>
    </xf>
    <xf numFmtId="43" fontId="23" fillId="0" borderId="13" xfId="52" applyNumberFormat="1" applyFont="1" applyBorder="1" applyAlignment="1">
      <alignment vertical="center" wrapText="1"/>
      <protection/>
    </xf>
    <xf numFmtId="43" fontId="3" fillId="0" borderId="13" xfId="0" applyNumberFormat="1" applyFont="1" applyFill="1" applyBorder="1" applyAlignment="1">
      <alignment horizontal="right"/>
    </xf>
    <xf numFmtId="43" fontId="23" fillId="0" borderId="20" xfId="52" applyNumberFormat="1" applyFont="1" applyBorder="1" applyAlignment="1">
      <alignment vertical="center" wrapText="1"/>
      <protection/>
    </xf>
    <xf numFmtId="43" fontId="3" fillId="0" borderId="20" xfId="0" applyNumberFormat="1" applyFont="1" applyFill="1" applyBorder="1" applyAlignment="1">
      <alignment horizontal="right"/>
    </xf>
    <xf numFmtId="43" fontId="3" fillId="33" borderId="22" xfId="0" applyNumberFormat="1" applyFont="1" applyFill="1" applyBorder="1" applyAlignment="1">
      <alignment horizontal="left" vertical="center" wrapText="1"/>
    </xf>
    <xf numFmtId="43" fontId="3" fillId="33" borderId="12" xfId="0" applyNumberFormat="1" applyFont="1" applyFill="1" applyBorder="1" applyAlignment="1">
      <alignment horizontal="left" vertical="center" wrapText="1"/>
    </xf>
    <xf numFmtId="43" fontId="3" fillId="33" borderId="22" xfId="0" applyNumberFormat="1" applyFont="1" applyFill="1" applyBorder="1" applyAlignment="1">
      <alignment horizontal="left" wrapText="1"/>
    </xf>
    <xf numFmtId="43" fontId="3" fillId="33" borderId="22" xfId="0" applyNumberFormat="1" applyFont="1" applyFill="1" applyBorder="1" applyAlignment="1">
      <alignment horizontal="right"/>
    </xf>
    <xf numFmtId="43" fontId="3" fillId="0" borderId="14" xfId="0" applyNumberFormat="1" applyFont="1" applyBorder="1" applyAlignment="1">
      <alignment horizontal="right"/>
    </xf>
    <xf numFmtId="43" fontId="3" fillId="33" borderId="12" xfId="0" applyNumberFormat="1" applyFont="1" applyFill="1" applyBorder="1" applyAlignment="1">
      <alignment horizontal="left" wrapText="1"/>
    </xf>
    <xf numFmtId="43" fontId="3" fillId="33" borderId="12" xfId="0" applyNumberFormat="1" applyFont="1" applyFill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3" fontId="3" fillId="0" borderId="23" xfId="0" applyNumberFormat="1" applyFont="1" applyFill="1" applyBorder="1" applyAlignment="1">
      <alignment horizontal="left" wrapText="1"/>
    </xf>
    <xf numFmtId="43" fontId="3" fillId="0" borderId="23" xfId="0" applyNumberFormat="1" applyFont="1" applyFill="1" applyBorder="1" applyAlignment="1">
      <alignment horizontal="right"/>
    </xf>
    <xf numFmtId="43" fontId="3" fillId="0" borderId="20" xfId="0" applyNumberFormat="1" applyFont="1" applyBorder="1" applyAlignment="1">
      <alignment horizontal="right"/>
    </xf>
    <xf numFmtId="43" fontId="3" fillId="33" borderId="12" xfId="0" applyNumberFormat="1" applyFont="1" applyFill="1" applyBorder="1" applyAlignment="1">
      <alignment/>
    </xf>
    <xf numFmtId="43" fontId="3" fillId="33" borderId="23" xfId="0" applyNumberFormat="1" applyFont="1" applyFill="1" applyBorder="1" applyAlignment="1">
      <alignment/>
    </xf>
    <xf numFmtId="43" fontId="3" fillId="0" borderId="23" xfId="66" applyNumberFormat="1" applyFont="1" applyFill="1" applyBorder="1" applyAlignment="1">
      <alignment/>
    </xf>
    <xf numFmtId="43" fontId="3" fillId="0" borderId="20" xfId="66" applyNumberFormat="1" applyFont="1" applyFill="1" applyBorder="1" applyAlignment="1">
      <alignment/>
    </xf>
    <xf numFmtId="43" fontId="2" fillId="0" borderId="17" xfId="0" applyNumberFormat="1" applyFont="1" applyFill="1" applyBorder="1" applyAlignment="1">
      <alignment/>
    </xf>
    <xf numFmtId="43" fontId="5" fillId="0" borderId="0" xfId="52" applyNumberFormat="1" applyFont="1" applyBorder="1" applyAlignment="1">
      <alignment vertical="center" wrapText="1"/>
      <protection/>
    </xf>
    <xf numFmtId="43" fontId="3" fillId="33" borderId="14" xfId="66" applyNumberFormat="1" applyFont="1" applyFill="1" applyBorder="1" applyAlignment="1">
      <alignment/>
    </xf>
    <xf numFmtId="43" fontId="3" fillId="0" borderId="0" xfId="66" applyNumberFormat="1" applyFont="1" applyFill="1" applyBorder="1" applyAlignment="1">
      <alignment/>
    </xf>
    <xf numFmtId="43" fontId="3" fillId="33" borderId="22" xfId="66" applyNumberFormat="1" applyFont="1" applyFill="1" applyBorder="1" applyAlignment="1">
      <alignment/>
    </xf>
    <xf numFmtId="43" fontId="5" fillId="33" borderId="0" xfId="52" applyNumberFormat="1" applyFont="1" applyFill="1" applyAlignment="1" applyProtection="1">
      <alignment vertical="center"/>
      <protection locked="0"/>
    </xf>
    <xf numFmtId="43" fontId="3" fillId="33" borderId="13" xfId="66" applyNumberFormat="1" applyFont="1" applyFill="1" applyBorder="1" applyAlignment="1">
      <alignment/>
    </xf>
    <xf numFmtId="43" fontId="3" fillId="33" borderId="12" xfId="66" applyNumberFormat="1" applyFont="1" applyFill="1" applyBorder="1" applyAlignment="1">
      <alignment/>
    </xf>
    <xf numFmtId="43" fontId="5" fillId="0" borderId="0" xfId="52" applyNumberFormat="1" applyFont="1" applyAlignment="1">
      <alignment vertical="center" wrapText="1"/>
      <protection/>
    </xf>
    <xf numFmtId="43" fontId="5" fillId="33" borderId="0" xfId="52" applyNumberFormat="1" applyFont="1" applyFill="1" applyBorder="1" applyAlignment="1" applyProtection="1">
      <alignment vertical="center"/>
      <protection locked="0"/>
    </xf>
    <xf numFmtId="43" fontId="2" fillId="0" borderId="0" xfId="0" applyNumberFormat="1" applyFont="1" applyFill="1" applyBorder="1" applyAlignment="1">
      <alignment horizontal="center" wrapText="1"/>
    </xf>
    <xf numFmtId="43" fontId="3" fillId="0" borderId="0" xfId="66" applyNumberFormat="1" applyFont="1" applyFill="1" applyBorder="1" applyAlignment="1">
      <alignment horizontal="center"/>
    </xf>
    <xf numFmtId="43" fontId="3" fillId="0" borderId="0" xfId="66" applyNumberFormat="1" applyFont="1" applyBorder="1" applyAlignment="1">
      <alignment/>
    </xf>
    <xf numFmtId="43" fontId="5" fillId="0" borderId="0" xfId="52" applyNumberFormat="1" applyFont="1" applyAlignment="1">
      <alignment vertical="center"/>
      <protection/>
    </xf>
    <xf numFmtId="43" fontId="3" fillId="0" borderId="0" xfId="0" applyNumberFormat="1" applyFont="1" applyFill="1" applyBorder="1" applyAlignment="1">
      <alignment horizontal="left" vertical="center"/>
    </xf>
    <xf numFmtId="43" fontId="21" fillId="0" borderId="0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43" fontId="1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horizontal="left" vertical="top" wrapText="1"/>
    </xf>
    <xf numFmtId="43" fontId="9" fillId="0" borderId="0" xfId="0" applyNumberFormat="1" applyFont="1" applyFill="1" applyAlignment="1">
      <alignment horizontal="left" vertical="top" wrapText="1"/>
    </xf>
    <xf numFmtId="43" fontId="5" fillId="0" borderId="0" xfId="0" applyNumberFormat="1" applyFont="1" applyFill="1" applyAlignment="1">
      <alignment vertical="top" wrapText="1"/>
    </xf>
    <xf numFmtId="43" fontId="5" fillId="0" borderId="21" xfId="0" applyNumberFormat="1" applyFont="1" applyFill="1" applyBorder="1" applyAlignment="1">
      <alignment horizontal="left" vertical="top" wrapText="1"/>
    </xf>
    <xf numFmtId="43" fontId="5" fillId="0" borderId="21" xfId="0" applyNumberFormat="1" applyFont="1" applyFill="1" applyBorder="1" applyAlignment="1">
      <alignment horizontal="right" vertical="top" wrapText="1"/>
    </xf>
    <xf numFmtId="43" fontId="5" fillId="0" borderId="0" xfId="0" applyNumberFormat="1" applyFont="1" applyFill="1" applyBorder="1" applyAlignment="1">
      <alignment horizontal="right" vertical="top" wrapText="1"/>
    </xf>
    <xf numFmtId="43" fontId="2" fillId="0" borderId="12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 horizontal="center" vertical="top"/>
    </xf>
    <xf numFmtId="43" fontId="3" fillId="0" borderId="14" xfId="0" applyNumberFormat="1" applyFont="1" applyFill="1" applyBorder="1" applyAlignment="1">
      <alignment horizontal="justify" vertical="top" wrapText="1"/>
    </xf>
    <xf numFmtId="43" fontId="3" fillId="0" borderId="22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justify" vertical="top" wrapText="1"/>
    </xf>
    <xf numFmtId="43" fontId="3" fillId="0" borderId="12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3" fontId="3" fillId="0" borderId="21" xfId="0" applyNumberFormat="1" applyFont="1" applyFill="1" applyBorder="1" applyAlignment="1">
      <alignment horizontal="right"/>
    </xf>
    <xf numFmtId="43" fontId="3" fillId="0" borderId="20" xfId="0" applyNumberFormat="1" applyFont="1" applyFill="1" applyBorder="1" applyAlignment="1">
      <alignment horizontal="justify" vertical="top" wrapText="1"/>
    </xf>
    <xf numFmtId="43" fontId="3" fillId="0" borderId="0" xfId="0" applyNumberFormat="1" applyFont="1" applyFill="1" applyBorder="1" applyAlignment="1">
      <alignment horizontal="justify" vertical="top" wrapText="1"/>
    </xf>
    <xf numFmtId="43" fontId="3" fillId="0" borderId="0" xfId="0" applyNumberFormat="1" applyFont="1" applyFill="1" applyBorder="1" applyAlignment="1">
      <alignment horizontal="left" vertical="top"/>
    </xf>
    <xf numFmtId="43" fontId="3" fillId="0" borderId="0" xfId="0" applyNumberFormat="1" applyFont="1" applyFill="1" applyBorder="1" applyAlignment="1">
      <alignment horizontal="right" vertical="top" wrapText="1"/>
    </xf>
    <xf numFmtId="43" fontId="3" fillId="0" borderId="21" xfId="0" applyNumberFormat="1" applyFont="1" applyFill="1" applyBorder="1" applyAlignment="1">
      <alignment horizontal="left" vertical="top" wrapText="1"/>
    </xf>
    <xf numFmtId="43" fontId="3" fillId="0" borderId="21" xfId="0" applyNumberFormat="1" applyFont="1" applyFill="1" applyBorder="1" applyAlignment="1">
      <alignment horizontal="right" vertical="top" wrapText="1"/>
    </xf>
    <xf numFmtId="43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center" wrapText="1"/>
    </xf>
    <xf numFmtId="43" fontId="3" fillId="0" borderId="0" xfId="0" applyNumberFormat="1" applyFont="1" applyFill="1" applyAlignment="1">
      <alignment vertical="center"/>
    </xf>
    <xf numFmtId="43" fontId="3" fillId="0" borderId="10" xfId="0" applyNumberFormat="1" applyFont="1" applyFill="1" applyBorder="1" applyAlignment="1">
      <alignment horizontal="left"/>
    </xf>
    <xf numFmtId="43" fontId="75" fillId="0" borderId="14" xfId="66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wrapText="1"/>
    </xf>
    <xf numFmtId="43" fontId="3" fillId="0" borderId="10" xfId="0" applyNumberFormat="1" applyFont="1" applyFill="1" applyBorder="1" applyAlignment="1">
      <alignment/>
    </xf>
    <xf numFmtId="43" fontId="75" fillId="0" borderId="13" xfId="66" applyNumberFormat="1" applyFont="1" applyFill="1" applyBorder="1" applyAlignment="1">
      <alignment horizontal="right"/>
    </xf>
    <xf numFmtId="43" fontId="3" fillId="0" borderId="21" xfId="0" applyNumberFormat="1" applyFont="1" applyFill="1" applyBorder="1" applyAlignment="1">
      <alignment/>
    </xf>
    <xf numFmtId="43" fontId="75" fillId="0" borderId="20" xfId="66" applyNumberFormat="1" applyFont="1" applyFill="1" applyBorder="1" applyAlignment="1">
      <alignment horizontal="right"/>
    </xf>
    <xf numFmtId="43" fontId="3" fillId="0" borderId="19" xfId="0" applyNumberFormat="1" applyFont="1" applyFill="1" applyBorder="1" applyAlignment="1">
      <alignment/>
    </xf>
    <xf numFmtId="43" fontId="75" fillId="0" borderId="19" xfId="66" applyNumberFormat="1" applyFont="1" applyFill="1" applyBorder="1" applyAlignment="1">
      <alignment horizontal="right" wrapText="1"/>
    </xf>
    <xf numFmtId="43" fontId="75" fillId="0" borderId="0" xfId="66" applyNumberFormat="1" applyFont="1" applyFill="1" applyBorder="1" applyAlignment="1">
      <alignment horizontal="right" wrapText="1"/>
    </xf>
    <xf numFmtId="43" fontId="75" fillId="0" borderId="21" xfId="66" applyNumberFormat="1" applyFont="1" applyFill="1" applyBorder="1" applyAlignment="1">
      <alignment horizontal="right" wrapText="1"/>
    </xf>
    <xf numFmtId="43" fontId="3" fillId="0" borderId="12" xfId="0" applyNumberFormat="1" applyFont="1" applyFill="1" applyBorder="1" applyAlignment="1">
      <alignment/>
    </xf>
    <xf numFmtId="43" fontId="3" fillId="0" borderId="20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43" fontId="3" fillId="0" borderId="23" xfId="0" applyNumberFormat="1" applyFont="1" applyFill="1" applyBorder="1" applyAlignment="1">
      <alignment/>
    </xf>
    <xf numFmtId="43" fontId="3" fillId="0" borderId="12" xfId="50" applyNumberFormat="1" applyFont="1" applyFill="1" applyBorder="1" applyAlignment="1">
      <alignment/>
      <protection/>
    </xf>
    <xf numFmtId="43" fontId="3" fillId="0" borderId="0" xfId="0" applyNumberFormat="1" applyFont="1" applyFill="1" applyAlignment="1">
      <alignment horizontal="left" wrapText="1"/>
    </xf>
    <xf numFmtId="43" fontId="3" fillId="0" borderId="0" xfId="0" applyNumberFormat="1" applyFont="1" applyFill="1" applyAlignment="1">
      <alignment horizontal="left"/>
    </xf>
    <xf numFmtId="43" fontId="3" fillId="0" borderId="23" xfId="50" applyNumberFormat="1" applyFont="1" applyFill="1" applyBorder="1" applyAlignment="1">
      <alignment/>
      <protection/>
    </xf>
    <xf numFmtId="43" fontId="76" fillId="0" borderId="0" xfId="0" applyNumberFormat="1" applyFont="1" applyFill="1" applyBorder="1" applyAlignment="1">
      <alignment horizontal="center" wrapText="1"/>
    </xf>
    <xf numFmtId="43" fontId="3" fillId="0" borderId="14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3" fontId="3" fillId="0" borderId="13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 wrapText="1"/>
    </xf>
    <xf numFmtId="43" fontId="3" fillId="0" borderId="24" xfId="66" applyNumberFormat="1" applyFont="1" applyFill="1" applyBorder="1" applyAlignment="1">
      <alignment horizontal="right"/>
    </xf>
    <xf numFmtId="43" fontId="6" fillId="0" borderId="15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 vertical="center" wrapText="1"/>
    </xf>
    <xf numFmtId="43" fontId="3" fillId="0" borderId="0" xfId="0" applyNumberFormat="1" applyFont="1" applyFill="1" applyAlignment="1">
      <alignment horizontal="left" vertical="top" wrapText="1"/>
    </xf>
    <xf numFmtId="49" fontId="14" fillId="0" borderId="0" xfId="50" applyNumberFormat="1" applyFont="1" applyFill="1" applyBorder="1" applyAlignment="1">
      <alignment/>
      <protection/>
    </xf>
    <xf numFmtId="43" fontId="26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 horizontal="left" vertical="top"/>
    </xf>
    <xf numFmtId="43" fontId="13" fillId="0" borderId="0" xfId="0" applyNumberFormat="1" applyFont="1" applyFill="1" applyAlignment="1">
      <alignment horizontal="left" vertical="top"/>
    </xf>
    <xf numFmtId="43" fontId="27" fillId="0" borderId="0" xfId="50" applyNumberFormat="1" applyFont="1" applyFill="1" applyBorder="1" applyAlignment="1">
      <alignment/>
      <protection/>
    </xf>
    <xf numFmtId="43" fontId="28" fillId="0" borderId="0" xfId="50" applyNumberFormat="1" applyFont="1" applyFill="1" applyBorder="1" applyAlignment="1">
      <alignment/>
      <protection/>
    </xf>
    <xf numFmtId="43" fontId="3" fillId="0" borderId="0" xfId="50" applyNumberFormat="1" applyFont="1" applyFill="1" applyAlignment="1">
      <alignment horizontal="left" vertical="top" wrapText="1"/>
      <protection/>
    </xf>
    <xf numFmtId="43" fontId="3" fillId="0" borderId="0" xfId="50" applyNumberFormat="1" applyFont="1" applyFill="1" applyAlignment="1">
      <alignment/>
      <protection/>
    </xf>
    <xf numFmtId="43" fontId="3" fillId="0" borderId="0" xfId="50" applyNumberFormat="1" applyFont="1" applyFill="1" applyBorder="1" applyAlignment="1">
      <alignment/>
      <protection/>
    </xf>
    <xf numFmtId="43" fontId="26" fillId="0" borderId="0" xfId="50" applyNumberFormat="1" applyFont="1" applyFill="1" applyAlignment="1">
      <alignment/>
      <protection/>
    </xf>
    <xf numFmtId="43" fontId="3" fillId="0" borderId="0" xfId="50" applyNumberFormat="1" applyFont="1" applyAlignment="1">
      <alignment horizontal="left" vertical="top" wrapText="1"/>
      <protection/>
    </xf>
    <xf numFmtId="43" fontId="3" fillId="0" borderId="0" xfId="50" applyNumberFormat="1" applyFont="1" applyAlignment="1">
      <alignment vertical="top" wrapText="1"/>
      <protection/>
    </xf>
    <xf numFmtId="2" fontId="26" fillId="0" borderId="0" xfId="50" applyNumberFormat="1" applyFont="1" applyFill="1" applyAlignment="1">
      <alignment horizontal="left" vertical="top"/>
      <protection/>
    </xf>
    <xf numFmtId="2" fontId="13" fillId="0" borderId="0" xfId="50" applyNumberFormat="1" applyFont="1" applyFill="1" applyAlignment="1">
      <alignment horizontal="left" vertical="top"/>
      <protection/>
    </xf>
    <xf numFmtId="2" fontId="3" fillId="0" borderId="0" xfId="50" applyNumberFormat="1" applyFont="1" applyFill="1" applyAlignment="1">
      <alignment horizontal="left"/>
      <protection/>
    </xf>
    <xf numFmtId="43" fontId="26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3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43" fontId="9" fillId="0" borderId="14" xfId="0" applyNumberFormat="1" applyFont="1" applyFill="1" applyBorder="1" applyAlignment="1">
      <alignment horizontal="center"/>
    </xf>
    <xf numFmtId="43" fontId="9" fillId="0" borderId="22" xfId="0" applyNumberFormat="1" applyFont="1" applyFill="1" applyBorder="1" applyAlignment="1">
      <alignment horizontal="center"/>
    </xf>
    <xf numFmtId="43" fontId="9" fillId="0" borderId="14" xfId="0" applyNumberFormat="1" applyFont="1" applyFill="1" applyBorder="1" applyAlignment="1">
      <alignment horizontal="center" vertical="center" wrapText="1"/>
    </xf>
    <xf numFmtId="43" fontId="9" fillId="0" borderId="14" xfId="50" applyNumberFormat="1" applyFont="1" applyFill="1" applyBorder="1" applyAlignment="1">
      <alignment horizontal="center" vertical="center" wrapText="1"/>
      <protection/>
    </xf>
    <xf numFmtId="43" fontId="9" fillId="0" borderId="13" xfId="0" applyNumberFormat="1" applyFont="1" applyFill="1" applyBorder="1" applyAlignment="1">
      <alignment horizontal="center"/>
    </xf>
    <xf numFmtId="43" fontId="9" fillId="0" borderId="12" xfId="0" applyNumberFormat="1" applyFont="1" applyFill="1" applyBorder="1" applyAlignment="1">
      <alignment horizontal="center"/>
    </xf>
    <xf numFmtId="43" fontId="9" fillId="0" borderId="12" xfId="0" applyNumberFormat="1" applyFont="1" applyFill="1" applyBorder="1" applyAlignment="1">
      <alignment horizontal="center" wrapText="1"/>
    </xf>
    <xf numFmtId="43" fontId="9" fillId="0" borderId="21" xfId="0" applyNumberFormat="1" applyFont="1" applyFill="1" applyBorder="1" applyAlignment="1">
      <alignment/>
    </xf>
    <xf numFmtId="43" fontId="9" fillId="0" borderId="20" xfId="0" applyNumberFormat="1" applyFont="1" applyFill="1" applyBorder="1" applyAlignment="1">
      <alignment horizontal="center" vertical="center"/>
    </xf>
    <xf numFmtId="43" fontId="9" fillId="0" borderId="23" xfId="0" applyNumberFormat="1" applyFont="1" applyFill="1" applyBorder="1" applyAlignment="1">
      <alignment horizontal="center" vertical="center"/>
    </xf>
    <xf numFmtId="43" fontId="9" fillId="0" borderId="20" xfId="0" applyNumberFormat="1" applyFont="1" applyFill="1" applyBorder="1" applyAlignment="1">
      <alignment horizontal="center"/>
    </xf>
    <xf numFmtId="43" fontId="9" fillId="0" borderId="15" xfId="0" applyNumberFormat="1" applyFont="1" applyFill="1" applyBorder="1" applyAlignment="1">
      <alignment horizontal="center" vertical="center"/>
    </xf>
    <xf numFmtId="43" fontId="9" fillId="0" borderId="18" xfId="0" applyNumberFormat="1" applyFont="1" applyFill="1" applyBorder="1" applyAlignment="1">
      <alignment/>
    </xf>
    <xf numFmtId="43" fontId="9" fillId="0" borderId="22" xfId="0" applyNumberFormat="1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/>
    </xf>
    <xf numFmtId="43" fontId="9" fillId="0" borderId="12" xfId="0" applyNumberFormat="1" applyFont="1" applyFill="1" applyBorder="1" applyAlignment="1">
      <alignment horizontal="center" vertical="center" wrapText="1"/>
    </xf>
    <xf numFmtId="43" fontId="9" fillId="0" borderId="11" xfId="0" applyNumberFormat="1" applyFont="1" applyFill="1" applyBorder="1" applyAlignment="1">
      <alignment/>
    </xf>
    <xf numFmtId="43" fontId="9" fillId="0" borderId="20" xfId="0" applyNumberFormat="1" applyFont="1" applyFill="1" applyBorder="1" applyAlignment="1">
      <alignment horizontal="center" vertical="center" wrapText="1"/>
    </xf>
    <xf numFmtId="43" fontId="9" fillId="0" borderId="23" xfId="0" applyNumberFormat="1" applyFont="1" applyFill="1" applyBorder="1" applyAlignment="1">
      <alignment horizontal="center"/>
    </xf>
    <xf numFmtId="43" fontId="3" fillId="0" borderId="15" xfId="66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43" fontId="9" fillId="0" borderId="14" xfId="0" applyNumberFormat="1" applyFont="1" applyFill="1" applyBorder="1" applyAlignment="1">
      <alignment horizontal="center" vertical="center"/>
    </xf>
    <xf numFmtId="43" fontId="9" fillId="0" borderId="22" xfId="0" applyNumberFormat="1" applyFont="1" applyFill="1" applyBorder="1" applyAlignment="1">
      <alignment horizontal="center" vertical="center"/>
    </xf>
    <xf numFmtId="43" fontId="9" fillId="0" borderId="14" xfId="50" applyNumberFormat="1" applyFont="1" applyFill="1" applyBorder="1" applyAlignment="1">
      <alignment horizontal="center" wrapText="1"/>
      <protection/>
    </xf>
    <xf numFmtId="43" fontId="12" fillId="0" borderId="10" xfId="0" applyNumberFormat="1" applyFont="1" applyFill="1" applyBorder="1" applyAlignment="1">
      <alignment horizontal="center" vertical="center"/>
    </xf>
    <xf numFmtId="43" fontId="9" fillId="0" borderId="13" xfId="0" applyNumberFormat="1" applyFont="1" applyFill="1" applyBorder="1" applyAlignment="1">
      <alignment horizontal="center" vertical="center"/>
    </xf>
    <xf numFmtId="43" fontId="9" fillId="0" borderId="20" xfId="0" applyNumberFormat="1" applyFont="1" applyFill="1" applyBorder="1" applyAlignment="1">
      <alignment/>
    </xf>
    <xf numFmtId="43" fontId="5" fillId="0" borderId="24" xfId="0" applyNumberFormat="1" applyFont="1" applyFill="1" applyBorder="1" applyAlignment="1">
      <alignment vertical="center"/>
    </xf>
    <xf numFmtId="43" fontId="9" fillId="0" borderId="16" xfId="0" applyNumberFormat="1" applyFont="1" applyFill="1" applyBorder="1" applyAlignment="1">
      <alignment wrapText="1"/>
    </xf>
    <xf numFmtId="43" fontId="9" fillId="0" borderId="14" xfId="0" applyNumberFormat="1" applyFont="1" applyFill="1" applyBorder="1" applyAlignment="1">
      <alignment/>
    </xf>
    <xf numFmtId="43" fontId="9" fillId="0" borderId="17" xfId="0" applyNumberFormat="1" applyFont="1" applyFill="1" applyBorder="1" applyAlignment="1">
      <alignment vertical="center"/>
    </xf>
    <xf numFmtId="43" fontId="9" fillId="0" borderId="24" xfId="0" applyNumberFormat="1" applyFont="1" applyFill="1" applyBorder="1" applyAlignment="1">
      <alignment horizontal="justify" vertical="center"/>
    </xf>
    <xf numFmtId="43" fontId="9" fillId="0" borderId="16" xfId="0" applyNumberFormat="1" applyFont="1" applyFill="1" applyBorder="1" applyAlignment="1">
      <alignment horizontal="center" vertical="center" wrapText="1"/>
    </xf>
    <xf numFmtId="43" fontId="9" fillId="0" borderId="23" xfId="0" applyNumberFormat="1" applyFont="1" applyFill="1" applyBorder="1" applyAlignment="1">
      <alignment horizontal="center" vertical="center" wrapText="1"/>
    </xf>
    <xf numFmtId="43" fontId="5" fillId="0" borderId="18" xfId="0" applyNumberFormat="1" applyFont="1" applyFill="1" applyBorder="1" applyAlignment="1">
      <alignment/>
    </xf>
    <xf numFmtId="43" fontId="9" fillId="0" borderId="17" xfId="0" applyNumberFormat="1" applyFont="1" applyFill="1" applyBorder="1" applyAlignment="1">
      <alignment/>
    </xf>
    <xf numFmtId="43" fontId="3" fillId="0" borderId="0" xfId="69" applyNumberFormat="1" applyFont="1" applyFill="1" applyBorder="1" applyAlignment="1">
      <alignment horizontal="right" wrapText="1"/>
    </xf>
    <xf numFmtId="43" fontId="12" fillId="0" borderId="16" xfId="0" applyNumberFormat="1" applyFont="1" applyFill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horizontal="center" wrapText="1"/>
    </xf>
    <xf numFmtId="43" fontId="12" fillId="0" borderId="2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43" fontId="9" fillId="0" borderId="16" xfId="50" applyNumberFormat="1" applyFont="1" applyFill="1" applyBorder="1" applyAlignment="1">
      <alignment wrapText="1"/>
      <protection/>
    </xf>
    <xf numFmtId="43" fontId="2" fillId="0" borderId="15" xfId="66" applyNumberFormat="1" applyFont="1" applyFill="1" applyBorder="1" applyAlignment="1">
      <alignment horizontal="right"/>
    </xf>
    <xf numFmtId="43" fontId="9" fillId="0" borderId="15" xfId="50" applyNumberFormat="1" applyFont="1" applyFill="1" applyBorder="1" applyAlignment="1">
      <alignment vertical="center" wrapText="1"/>
      <protection/>
    </xf>
    <xf numFmtId="43" fontId="5" fillId="0" borderId="22" xfId="50" applyNumberFormat="1" applyFont="1" applyFill="1" applyBorder="1" applyAlignment="1">
      <alignment vertical="center"/>
      <protection/>
    </xf>
    <xf numFmtId="43" fontId="12" fillId="0" borderId="12" xfId="50" applyNumberFormat="1" applyFont="1" applyFill="1" applyBorder="1" applyAlignment="1">
      <alignment horizontal="center" vertical="center"/>
      <protection/>
    </xf>
    <xf numFmtId="43" fontId="9" fillId="0" borderId="13" xfId="50" applyNumberFormat="1" applyFont="1" applyFill="1" applyBorder="1" applyAlignment="1">
      <alignment horizontal="center" vertical="center" wrapText="1"/>
      <protection/>
    </xf>
    <xf numFmtId="43" fontId="9" fillId="0" borderId="20" xfId="50" applyNumberFormat="1" applyFont="1" applyFill="1" applyBorder="1" applyAlignment="1">
      <alignment horizontal="center" vertical="center" wrapText="1"/>
      <protection/>
    </xf>
    <xf numFmtId="43" fontId="9" fillId="0" borderId="15" xfId="50" applyNumberFormat="1" applyFont="1" applyFill="1" applyBorder="1" applyAlignment="1">
      <alignment vertical="center"/>
      <protection/>
    </xf>
    <xf numFmtId="43" fontId="5" fillId="0" borderId="14" xfId="50" applyNumberFormat="1" applyFont="1" applyFill="1" applyBorder="1" applyAlignment="1">
      <alignment vertical="center"/>
      <protection/>
    </xf>
    <xf numFmtId="43" fontId="9" fillId="0" borderId="16" xfId="50" applyNumberFormat="1" applyFont="1" applyFill="1" applyBorder="1" applyAlignment="1">
      <alignment horizontal="center" vertical="center" wrapText="1"/>
      <protection/>
    </xf>
    <xf numFmtId="43" fontId="12" fillId="0" borderId="13" xfId="50" applyNumberFormat="1" applyFont="1" applyFill="1" applyBorder="1" applyAlignment="1">
      <alignment horizontal="center" vertical="center"/>
      <protection/>
    </xf>
    <xf numFmtId="43" fontId="9" fillId="0" borderId="22" xfId="50" applyNumberFormat="1" applyFont="1" applyFill="1" applyBorder="1" applyAlignment="1">
      <alignment horizontal="center" wrapText="1"/>
      <protection/>
    </xf>
    <xf numFmtId="43" fontId="5" fillId="0" borderId="20" xfId="50" applyNumberFormat="1" applyFont="1" applyFill="1" applyBorder="1" applyAlignment="1">
      <alignment vertical="center"/>
      <protection/>
    </xf>
    <xf numFmtId="43" fontId="9" fillId="0" borderId="23" xfId="50" applyNumberFormat="1" applyFont="1" applyFill="1" applyBorder="1" applyAlignment="1">
      <alignment horizontal="center" vertical="center" wrapText="1"/>
      <protection/>
    </xf>
    <xf numFmtId="43" fontId="12" fillId="0" borderId="16" xfId="50" applyNumberFormat="1" applyFont="1" applyFill="1" applyBorder="1" applyAlignment="1">
      <alignment horizontal="center" vertical="center" wrapText="1"/>
      <protection/>
    </xf>
    <xf numFmtId="43" fontId="9" fillId="0" borderId="17" xfId="0" applyNumberFormat="1" applyFont="1" applyFill="1" applyBorder="1" applyAlignment="1">
      <alignment horizontal="left" vertical="center" wrapText="1"/>
    </xf>
    <xf numFmtId="43" fontId="9" fillId="0" borderId="16" xfId="50" applyNumberFormat="1" applyFont="1" applyFill="1" applyBorder="1" applyAlignment="1">
      <alignment/>
      <protection/>
    </xf>
    <xf numFmtId="43" fontId="2" fillId="0" borderId="15" xfId="66" applyNumberFormat="1" applyFont="1" applyFill="1" applyBorder="1" applyAlignment="1">
      <alignment/>
    </xf>
    <xf numFmtId="43" fontId="2" fillId="0" borderId="16" xfId="66" applyNumberFormat="1" applyFont="1" applyFill="1" applyBorder="1" applyAlignment="1">
      <alignment/>
    </xf>
    <xf numFmtId="43" fontId="2" fillId="0" borderId="17" xfId="66" applyNumberFormat="1" applyFont="1" applyFill="1" applyBorder="1" applyAlignment="1">
      <alignment/>
    </xf>
    <xf numFmtId="43" fontId="9" fillId="0" borderId="22" xfId="50" applyNumberFormat="1" applyFont="1" applyFill="1" applyBorder="1" applyAlignment="1">
      <alignment horizontal="center" vertical="center" wrapText="1"/>
      <protection/>
    </xf>
    <xf numFmtId="43" fontId="9" fillId="0" borderId="13" xfId="50" applyNumberFormat="1" applyFont="1" applyFill="1" applyBorder="1" applyAlignment="1">
      <alignment horizontal="center" vertical="center"/>
      <protection/>
    </xf>
    <xf numFmtId="43" fontId="9" fillId="0" borderId="15" xfId="50" applyNumberFormat="1" applyFont="1" applyFill="1" applyBorder="1" applyAlignment="1">
      <alignment horizontal="center" vertical="center" wrapText="1"/>
      <protection/>
    </xf>
    <xf numFmtId="43" fontId="9" fillId="0" borderId="24" xfId="0" applyNumberFormat="1" applyFont="1" applyFill="1" applyBorder="1" applyAlignment="1">
      <alignment/>
    </xf>
    <xf numFmtId="43" fontId="5" fillId="0" borderId="18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43" fontId="9" fillId="0" borderId="10" xfId="0" applyNumberFormat="1" applyFont="1" applyFill="1" applyBorder="1" applyAlignment="1">
      <alignment/>
    </xf>
    <xf numFmtId="43" fontId="9" fillId="0" borderId="14" xfId="50" applyNumberFormat="1" applyFont="1" applyFill="1" applyBorder="1" applyAlignment="1">
      <alignment/>
      <protection/>
    </xf>
    <xf numFmtId="43" fontId="9" fillId="0" borderId="13" xfId="50" applyNumberFormat="1" applyFont="1" applyFill="1" applyBorder="1" applyAlignment="1">
      <alignment horizontal="center"/>
      <protection/>
    </xf>
    <xf numFmtId="43" fontId="9" fillId="0" borderId="13" xfId="0" applyNumberFormat="1" applyFont="1" applyFill="1" applyBorder="1" applyAlignment="1">
      <alignment/>
    </xf>
    <xf numFmtId="43" fontId="9" fillId="0" borderId="20" xfId="50" applyNumberFormat="1" applyFont="1" applyFill="1" applyBorder="1" applyAlignment="1">
      <alignment/>
      <protection/>
    </xf>
    <xf numFmtId="4" fontId="5" fillId="33" borderId="0" xfId="50" applyNumberFormat="1" applyFont="1" applyFill="1" applyAlignment="1">
      <alignment horizontal="left"/>
      <protection/>
    </xf>
    <xf numFmtId="4" fontId="5" fillId="33" borderId="0" xfId="50" applyNumberFormat="1" applyFont="1" applyFill="1">
      <alignment/>
      <protection/>
    </xf>
    <xf numFmtId="0" fontId="0" fillId="33" borderId="0" xfId="50" applyFill="1">
      <alignment/>
      <protection/>
    </xf>
    <xf numFmtId="0" fontId="5" fillId="33" borderId="0" xfId="50" applyFont="1" applyFill="1" applyAlignment="1">
      <alignment horizontal="left"/>
      <protection/>
    </xf>
    <xf numFmtId="4" fontId="5" fillId="33" borderId="0" xfId="50" applyNumberFormat="1" applyFont="1" applyFill="1" applyAlignment="1">
      <alignment horizontal="left" vertical="center"/>
      <protection/>
    </xf>
    <xf numFmtId="0" fontId="5" fillId="33" borderId="0" xfId="50" applyFont="1" applyFill="1">
      <alignment/>
      <protection/>
    </xf>
    <xf numFmtId="4" fontId="5" fillId="33" borderId="0" xfId="50" applyNumberFormat="1" applyFont="1" applyFill="1" applyAlignment="1">
      <alignment vertical="center"/>
      <protection/>
    </xf>
    <xf numFmtId="4" fontId="29" fillId="33" borderId="0" xfId="50" applyNumberFormat="1" applyFont="1" applyFill="1" applyAlignment="1">
      <alignment vertical="center"/>
      <protection/>
    </xf>
    <xf numFmtId="4" fontId="0" fillId="33" borderId="0" xfId="50" applyNumberFormat="1" applyFill="1" applyAlignment="1">
      <alignment vertical="center"/>
      <protection/>
    </xf>
    <xf numFmtId="0" fontId="29" fillId="33" borderId="0" xfId="50" applyFont="1" applyFill="1">
      <alignment/>
      <protection/>
    </xf>
    <xf numFmtId="43" fontId="0" fillId="0" borderId="0" xfId="50" applyNumberFormat="1">
      <alignment/>
      <protection/>
    </xf>
    <xf numFmtId="43" fontId="9" fillId="0" borderId="14" xfId="50" applyNumberFormat="1" applyFont="1" applyFill="1" applyBorder="1" applyAlignment="1">
      <alignment horizontal="center" vertical="center"/>
      <protection/>
    </xf>
    <xf numFmtId="43" fontId="9" fillId="0" borderId="14" xfId="50" applyNumberFormat="1" applyFont="1" applyFill="1" applyBorder="1" applyAlignment="1">
      <alignment horizontal="center"/>
      <protection/>
    </xf>
    <xf numFmtId="43" fontId="9" fillId="0" borderId="19" xfId="50" applyNumberFormat="1" applyFont="1" applyFill="1" applyBorder="1" applyAlignment="1">
      <alignment horizontal="center"/>
      <protection/>
    </xf>
    <xf numFmtId="43" fontId="9" fillId="0" borderId="13" xfId="51" applyNumberFormat="1" applyFont="1" applyFill="1" applyBorder="1" applyAlignment="1">
      <alignment horizontal="center"/>
      <protection/>
    </xf>
    <xf numFmtId="43" fontId="9" fillId="0" borderId="20" xfId="50" applyNumberFormat="1" applyFont="1" applyFill="1" applyBorder="1" applyAlignment="1">
      <alignment horizontal="center"/>
      <protection/>
    </xf>
    <xf numFmtId="43" fontId="9" fillId="0" borderId="21" xfId="50" applyNumberFormat="1" applyFont="1" applyFill="1" applyBorder="1" applyAlignment="1">
      <alignment horizontal="center"/>
      <protection/>
    </xf>
    <xf numFmtId="43" fontId="9" fillId="0" borderId="20" xfId="51" applyNumberFormat="1" applyFont="1" applyFill="1" applyBorder="1" applyAlignment="1">
      <alignment horizontal="center"/>
      <protection/>
    </xf>
    <xf numFmtId="43" fontId="9" fillId="0" borderId="12" xfId="50" applyNumberFormat="1" applyFont="1" applyFill="1" applyBorder="1" applyAlignment="1">
      <alignment/>
      <protection/>
    </xf>
    <xf numFmtId="43" fontId="9" fillId="0" borderId="22" xfId="50" applyNumberFormat="1" applyFont="1" applyFill="1" applyBorder="1" applyAlignment="1">
      <alignment horizontal="center"/>
      <protection/>
    </xf>
    <xf numFmtId="43" fontId="9" fillId="0" borderId="12" xfId="50" applyNumberFormat="1" applyFont="1" applyFill="1" applyBorder="1" applyAlignment="1">
      <alignment horizontal="center"/>
      <protection/>
    </xf>
    <xf numFmtId="43" fontId="9" fillId="0" borderId="18" xfId="50" applyNumberFormat="1" applyFont="1" applyFill="1" applyBorder="1" applyAlignment="1">
      <alignment horizontal="center"/>
      <protection/>
    </xf>
    <xf numFmtId="43" fontId="9" fillId="0" borderId="13" xfId="50" applyNumberFormat="1" applyFont="1" applyFill="1" applyBorder="1" applyAlignment="1">
      <alignment/>
      <protection/>
    </xf>
    <xf numFmtId="43" fontId="9" fillId="0" borderId="23" xfId="50" applyNumberFormat="1" applyFont="1" applyFill="1" applyBorder="1" applyAlignment="1">
      <alignment horizontal="center"/>
      <protection/>
    </xf>
    <xf numFmtId="43" fontId="9" fillId="0" borderId="11" xfId="50" applyNumberFormat="1" applyFont="1" applyFill="1" applyBorder="1" applyAlignment="1">
      <alignment horizontal="center"/>
      <protection/>
    </xf>
    <xf numFmtId="43" fontId="9" fillId="0" borderId="22" xfId="50" applyNumberFormat="1" applyFont="1" applyFill="1" applyBorder="1" applyAlignment="1">
      <alignment/>
      <protection/>
    </xf>
    <xf numFmtId="43" fontId="2" fillId="0" borderId="14" xfId="51" applyNumberFormat="1" applyFont="1" applyFill="1" applyBorder="1" applyAlignment="1">
      <alignment horizontal="center" wrapText="1"/>
      <protection/>
    </xf>
    <xf numFmtId="43" fontId="12" fillId="0" borderId="14" xfId="50" applyNumberFormat="1" applyFont="1" applyFill="1" applyBorder="1" applyAlignment="1">
      <alignment horizontal="left" wrapText="1"/>
      <protection/>
    </xf>
    <xf numFmtId="43" fontId="12" fillId="0" borderId="20" xfId="50" applyNumberFormat="1" applyFont="1" applyFill="1" applyBorder="1" applyAlignment="1">
      <alignment horizontal="left" wrapText="1"/>
      <protection/>
    </xf>
    <xf numFmtId="43" fontId="5" fillId="0" borderId="14" xfId="50" applyNumberFormat="1" applyFont="1" applyFill="1" applyBorder="1" applyAlignment="1">
      <alignment horizontal="center" vertical="top" wrapText="1"/>
      <protection/>
    </xf>
    <xf numFmtId="43" fontId="9" fillId="0" borderId="14" xfId="50" applyNumberFormat="1" applyFont="1" applyFill="1" applyBorder="1" applyAlignment="1">
      <alignment horizontal="center" vertical="top" wrapText="1"/>
      <protection/>
    </xf>
    <xf numFmtId="43" fontId="12" fillId="0" borderId="13" xfId="50" applyNumberFormat="1" applyFont="1" applyFill="1" applyBorder="1" applyAlignment="1">
      <alignment horizontal="center" vertical="center" wrapText="1"/>
      <protection/>
    </xf>
    <xf numFmtId="43" fontId="9" fillId="0" borderId="13" xfId="50" applyNumberFormat="1" applyFont="1" applyFill="1" applyBorder="1" applyAlignment="1">
      <alignment horizontal="center" vertical="top" wrapText="1"/>
      <protection/>
    </xf>
    <xf numFmtId="43" fontId="5" fillId="0" borderId="20" xfId="50" applyNumberFormat="1" applyFont="1" applyFill="1" applyBorder="1" applyAlignment="1">
      <alignment horizontal="right" vertical="top" wrapText="1"/>
      <protection/>
    </xf>
    <xf numFmtId="43" fontId="9" fillId="0" borderId="20" xfId="50" applyNumberFormat="1" applyFont="1" applyFill="1" applyBorder="1" applyAlignment="1">
      <alignment horizontal="center" vertical="top" wrapText="1"/>
      <protection/>
    </xf>
    <xf numFmtId="43" fontId="9" fillId="0" borderId="20" xfId="50" applyNumberFormat="1" applyFont="1" applyFill="1" applyBorder="1" applyAlignment="1">
      <alignment horizontal="center" vertical="top"/>
      <protection/>
    </xf>
    <xf numFmtId="43" fontId="9" fillId="0" borderId="22" xfId="50" applyNumberFormat="1" applyFont="1" applyFill="1" applyBorder="1" applyAlignment="1">
      <alignment horizontal="center" vertical="top" wrapText="1"/>
      <protection/>
    </xf>
    <xf numFmtId="43" fontId="9" fillId="0" borderId="14" xfId="50" applyNumberFormat="1" applyFont="1" applyFill="1" applyBorder="1" applyAlignment="1">
      <alignment horizontal="center" vertical="top"/>
      <protection/>
    </xf>
    <xf numFmtId="43" fontId="9" fillId="0" borderId="18" xfId="50" applyNumberFormat="1" applyFont="1" applyFill="1" applyBorder="1" applyAlignment="1">
      <alignment horizontal="center" vertical="top"/>
      <protection/>
    </xf>
    <xf numFmtId="43" fontId="9" fillId="0" borderId="23" xfId="50" applyNumberFormat="1" applyFont="1" applyFill="1" applyBorder="1" applyAlignment="1">
      <alignment horizontal="center" vertical="top" wrapText="1"/>
      <protection/>
    </xf>
    <xf numFmtId="43" fontId="9" fillId="0" borderId="11" xfId="50" applyNumberFormat="1" applyFont="1" applyFill="1" applyBorder="1" applyAlignment="1">
      <alignment horizontal="center" vertical="top"/>
      <protection/>
    </xf>
    <xf numFmtId="43" fontId="9" fillId="0" borderId="12" xfId="0" applyNumberFormat="1" applyFont="1" applyFill="1" applyBorder="1" applyAlignment="1">
      <alignment horizontal="center" vertical="center"/>
    </xf>
    <xf numFmtId="2" fontId="2" fillId="0" borderId="14" xfId="50" applyNumberFormat="1" applyFont="1" applyFill="1" applyBorder="1" applyAlignment="1">
      <alignment horizontal="center"/>
      <protection/>
    </xf>
    <xf numFmtId="2" fontId="2" fillId="0" borderId="22" xfId="50" applyNumberFormat="1" applyFont="1" applyFill="1" applyBorder="1" applyAlignment="1">
      <alignment horizontal="center"/>
      <protection/>
    </xf>
    <xf numFmtId="2" fontId="2" fillId="0" borderId="20" xfId="50" applyNumberFormat="1" applyFont="1" applyFill="1" applyBorder="1" applyAlignment="1">
      <alignment horizontal="center"/>
      <protection/>
    </xf>
    <xf numFmtId="2" fontId="2" fillId="0" borderId="23" xfId="50" applyNumberFormat="1" applyFont="1" applyFill="1" applyBorder="1" applyAlignment="1">
      <alignment horizontal="center"/>
      <protection/>
    </xf>
    <xf numFmtId="2" fontId="2" fillId="0" borderId="18" xfId="50" applyNumberFormat="1" applyFont="1" applyFill="1" applyBorder="1" applyAlignment="1">
      <alignment horizontal="center" vertical="center" wrapText="1"/>
      <protection/>
    </xf>
    <xf numFmtId="2" fontId="2" fillId="0" borderId="14" xfId="50" applyNumberFormat="1" applyFont="1" applyFill="1" applyBorder="1" applyAlignment="1">
      <alignment horizontal="center" vertical="top" wrapText="1"/>
      <protection/>
    </xf>
    <xf numFmtId="2" fontId="7" fillId="0" borderId="0" xfId="50" applyNumberFormat="1" applyFont="1" applyFill="1" applyBorder="1" applyAlignment="1">
      <alignment horizontal="center"/>
      <protection/>
    </xf>
    <xf numFmtId="2" fontId="2" fillId="0" borderId="12" xfId="50" applyNumberFormat="1" applyFont="1" applyFill="1" applyBorder="1" applyAlignment="1">
      <alignment horizontal="center"/>
      <protection/>
    </xf>
    <xf numFmtId="2" fontId="2" fillId="0" borderId="13" xfId="50" applyNumberFormat="1" applyFont="1" applyFill="1" applyBorder="1" applyAlignment="1">
      <alignment horizontal="center" vertical="top" wrapText="1"/>
      <protection/>
    </xf>
    <xf numFmtId="2" fontId="2" fillId="0" borderId="13" xfId="50" applyNumberFormat="1" applyFont="1" applyFill="1" applyBorder="1" applyAlignment="1">
      <alignment horizontal="center"/>
      <protection/>
    </xf>
    <xf numFmtId="2" fontId="2" fillId="0" borderId="11" xfId="50" applyNumberFormat="1" applyFont="1" applyFill="1" applyBorder="1" applyAlignment="1">
      <alignment horizontal="center" vertical="center" wrapText="1"/>
      <protection/>
    </xf>
    <xf numFmtId="2" fontId="2" fillId="0" borderId="19" xfId="50" applyNumberFormat="1" applyFont="1" applyFill="1" applyBorder="1" applyAlignment="1">
      <alignment horizontal="center"/>
      <protection/>
    </xf>
    <xf numFmtId="2" fontId="2" fillId="0" borderId="21" xfId="50" applyNumberFormat="1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 horizontal="left" vertical="center" wrapText="1"/>
    </xf>
    <xf numFmtId="43" fontId="2" fillId="0" borderId="24" xfId="0" applyNumberFormat="1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 horizontal="right"/>
    </xf>
    <xf numFmtId="43" fontId="2" fillId="0" borderId="14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 vertical="center"/>
    </xf>
    <xf numFmtId="43" fontId="2" fillId="0" borderId="14" xfId="50" applyNumberFormat="1" applyFont="1" applyFill="1" applyBorder="1" applyAlignment="1">
      <alignment horizontal="center" vertical="top" wrapText="1"/>
      <protection/>
    </xf>
    <xf numFmtId="43" fontId="2" fillId="0" borderId="10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3" xfId="50" applyNumberFormat="1" applyFont="1" applyFill="1" applyBorder="1" applyAlignment="1">
      <alignment horizontal="center" vertical="top" wrapText="1"/>
      <protection/>
    </xf>
    <xf numFmtId="43" fontId="2" fillId="0" borderId="20" xfId="0" applyNumberFormat="1" applyFont="1" applyFill="1" applyBorder="1" applyAlignment="1">
      <alignment horizontal="center" vertical="center" wrapText="1"/>
    </xf>
    <xf numFmtId="43" fontId="2" fillId="0" borderId="21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1" xfId="0" applyNumberFormat="1" applyFont="1" applyFill="1" applyBorder="1" applyAlignment="1">
      <alignment horizontal="center"/>
    </xf>
    <xf numFmtId="43" fontId="2" fillId="0" borderId="20" xfId="50" applyNumberFormat="1" applyFont="1" applyFill="1" applyBorder="1" applyAlignment="1">
      <alignment horizontal="center" vertical="top" wrapText="1"/>
      <protection/>
    </xf>
    <xf numFmtId="43" fontId="2" fillId="0" borderId="15" xfId="0" applyNumberFormat="1" applyFont="1" applyFill="1" applyBorder="1" applyAlignment="1">
      <alignment horizontal="center" vertical="center"/>
    </xf>
    <xf numFmtId="43" fontId="2" fillId="0" borderId="22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43" fontId="2" fillId="0" borderId="21" xfId="0" applyNumberFormat="1" applyFont="1" applyFill="1" applyBorder="1" applyAlignment="1">
      <alignment horizontal="center"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43" fontId="2" fillId="0" borderId="20" xfId="0" applyNumberFormat="1" applyFont="1" applyFill="1" applyBorder="1" applyAlignment="1">
      <alignment vertical="center" wrapText="1"/>
    </xf>
    <xf numFmtId="43" fontId="2" fillId="0" borderId="15" xfId="0" applyNumberFormat="1" applyFont="1" applyFill="1" applyBorder="1" applyAlignment="1">
      <alignment horizontal="left" vertical="center"/>
    </xf>
    <xf numFmtId="43" fontId="7" fillId="0" borderId="15" xfId="0" applyNumberFormat="1" applyFont="1" applyFill="1" applyBorder="1" applyAlignment="1">
      <alignment horizontal="right"/>
    </xf>
    <xf numFmtId="43" fontId="22" fillId="0" borderId="15" xfId="52" applyNumberFormat="1" applyFont="1" applyFill="1" applyBorder="1" applyAlignment="1">
      <alignment vertical="center" wrapText="1"/>
      <protection/>
    </xf>
    <xf numFmtId="43" fontId="2" fillId="0" borderId="14" xfId="0" applyNumberFormat="1" applyFont="1" applyFill="1" applyBorder="1" applyAlignment="1">
      <alignment horizontal="right"/>
    </xf>
    <xf numFmtId="43" fontId="2" fillId="0" borderId="24" xfId="0" applyNumberFormat="1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/>
    </xf>
    <xf numFmtId="43" fontId="2" fillId="0" borderId="13" xfId="50" applyNumberFormat="1" applyFont="1" applyFill="1" applyBorder="1" applyAlignment="1">
      <alignment horizontal="center" vertical="center" wrapText="1"/>
      <protection/>
    </xf>
    <xf numFmtId="43" fontId="2" fillId="0" borderId="13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2" xfId="0" applyNumberFormat="1" applyFont="1" applyFill="1" applyBorder="1" applyAlignment="1">
      <alignment horizontal="center" vertical="top" wrapText="1"/>
    </xf>
    <xf numFmtId="43" fontId="2" fillId="0" borderId="14" xfId="0" applyNumberFormat="1" applyFont="1" applyFill="1" applyBorder="1" applyAlignment="1">
      <alignment horizontal="center" vertical="top" wrapText="1"/>
    </xf>
    <xf numFmtId="43" fontId="7" fillId="0" borderId="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top" wrapText="1"/>
    </xf>
    <xf numFmtId="43" fontId="2" fillId="0" borderId="23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43" fontId="2" fillId="0" borderId="22" xfId="0" applyNumberFormat="1" applyFont="1" applyFill="1" applyBorder="1" applyAlignment="1">
      <alignment horizontal="center" vertical="top"/>
    </xf>
    <xf numFmtId="43" fontId="2" fillId="0" borderId="10" xfId="0" applyNumberFormat="1" applyFont="1" applyFill="1" applyBorder="1" applyAlignment="1">
      <alignment vertical="top"/>
    </xf>
    <xf numFmtId="43" fontId="2" fillId="0" borderId="11" xfId="0" applyNumberFormat="1" applyFont="1" applyFill="1" applyBorder="1" applyAlignment="1">
      <alignment vertical="top"/>
    </xf>
    <xf numFmtId="43" fontId="2" fillId="0" borderId="2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37" fontId="3" fillId="33" borderId="0" xfId="0" applyNumberFormat="1" applyFont="1" applyFill="1" applyAlignment="1">
      <alignment/>
    </xf>
    <xf numFmtId="0" fontId="23" fillId="33" borderId="0" xfId="0" applyFont="1" applyFill="1" applyAlignment="1">
      <alignment vertical="justify" wrapText="1"/>
    </xf>
    <xf numFmtId="43" fontId="19" fillId="0" borderId="22" xfId="0" applyNumberFormat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 wrapText="1"/>
    </xf>
    <xf numFmtId="43" fontId="2" fillId="0" borderId="19" xfId="0" applyNumberFormat="1" applyFont="1" applyFill="1" applyBorder="1" applyAlignment="1">
      <alignment horizontal="center" wrapText="1"/>
    </xf>
    <xf numFmtId="43" fontId="2" fillId="0" borderId="16" xfId="0" applyNumberFormat="1" applyFont="1" applyFill="1" applyBorder="1" applyAlignment="1">
      <alignment horizontal="center" wrapText="1"/>
    </xf>
    <xf numFmtId="43" fontId="2" fillId="0" borderId="24" xfId="0" applyNumberFormat="1" applyFont="1" applyFill="1" applyBorder="1" applyAlignment="1">
      <alignment horizontal="center" wrapText="1"/>
    </xf>
    <xf numFmtId="43" fontId="2" fillId="0" borderId="22" xfId="0" applyNumberFormat="1" applyFont="1" applyFill="1" applyBorder="1" applyAlignment="1">
      <alignment horizontal="center" wrapText="1"/>
    </xf>
    <xf numFmtId="43" fontId="2" fillId="0" borderId="14" xfId="0" applyNumberFormat="1" applyFont="1" applyFill="1" applyBorder="1" applyAlignment="1">
      <alignment horizontal="center" wrapText="1"/>
    </xf>
    <xf numFmtId="43" fontId="2" fillId="0" borderId="11" xfId="0" applyNumberFormat="1" applyFont="1" applyFill="1" applyBorder="1" applyAlignment="1">
      <alignment wrapText="1"/>
    </xf>
    <xf numFmtId="43" fontId="2" fillId="0" borderId="20" xfId="0" applyNumberFormat="1" applyFont="1" applyFill="1" applyBorder="1" applyAlignment="1">
      <alignment horizontal="center" wrapText="1"/>
    </xf>
    <xf numFmtId="43" fontId="2" fillId="0" borderId="14" xfId="0" applyNumberFormat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wrapText="1"/>
    </xf>
    <xf numFmtId="43" fontId="2" fillId="0" borderId="12" xfId="0" applyNumberFormat="1" applyFont="1" applyFill="1" applyBorder="1" applyAlignment="1">
      <alignment horizontal="center" wrapText="1"/>
    </xf>
    <xf numFmtId="43" fontId="2" fillId="0" borderId="23" xfId="0" applyNumberFormat="1" applyFont="1" applyFill="1" applyBorder="1" applyAlignment="1">
      <alignment horizontal="center" wrapText="1"/>
    </xf>
    <xf numFmtId="43" fontId="2" fillId="0" borderId="18" xfId="0" applyNumberFormat="1" applyFont="1" applyFill="1" applyBorder="1" applyAlignment="1">
      <alignment horizontal="center" wrapText="1"/>
    </xf>
    <xf numFmtId="43" fontId="2" fillId="0" borderId="11" xfId="0" applyNumberFormat="1" applyFont="1" applyFill="1" applyBorder="1" applyAlignment="1">
      <alignment horizontal="center" wrapText="1"/>
    </xf>
    <xf numFmtId="43" fontId="2" fillId="0" borderId="13" xfId="0" applyNumberFormat="1" applyFont="1" applyFill="1" applyBorder="1" applyAlignment="1">
      <alignment horizontal="center" wrapText="1"/>
    </xf>
    <xf numFmtId="43" fontId="2" fillId="0" borderId="10" xfId="0" applyNumberFormat="1" applyFont="1" applyFill="1" applyBorder="1" applyAlignment="1">
      <alignment/>
    </xf>
    <xf numFmtId="43" fontId="77" fillId="0" borderId="15" xfId="66" applyNumberFormat="1" applyFont="1" applyFill="1" applyBorder="1" applyAlignment="1">
      <alignment horizontal="center" vertical="center" wrapText="1"/>
    </xf>
    <xf numFmtId="43" fontId="77" fillId="0" borderId="14" xfId="66" applyNumberFormat="1" applyFont="1" applyFill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right"/>
    </xf>
    <xf numFmtId="43" fontId="3" fillId="0" borderId="23" xfId="0" applyNumberFormat="1" applyFont="1" applyBorder="1" applyAlignment="1">
      <alignment horizontal="right"/>
    </xf>
    <xf numFmtId="43" fontId="3" fillId="34" borderId="24" xfId="66" applyNumberFormat="1" applyFont="1" applyFill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3" fontId="3" fillId="0" borderId="11" xfId="0" applyNumberFormat="1" applyFont="1" applyBorder="1" applyAlignment="1">
      <alignment horizontal="right"/>
    </xf>
    <xf numFmtId="43" fontId="9" fillId="0" borderId="14" xfId="50" applyNumberFormat="1" applyFont="1" applyFill="1" applyBorder="1" applyAlignment="1">
      <alignment horizontal="center" vertical="center" wrapText="1"/>
      <protection/>
    </xf>
    <xf numFmtId="43" fontId="0" fillId="0" borderId="13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43" fontId="9" fillId="0" borderId="24" xfId="0" applyNumberFormat="1" applyFont="1" applyFill="1" applyBorder="1" applyAlignment="1">
      <alignment horizontal="center"/>
    </xf>
    <xf numFmtId="43" fontId="9" fillId="0" borderId="14" xfId="0" applyNumberFormat="1" applyFont="1" applyFill="1" applyBorder="1" applyAlignment="1">
      <alignment horizontal="center" vertical="center" wrapText="1"/>
    </xf>
    <xf numFmtId="43" fontId="9" fillId="0" borderId="13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left" vertical="center" wrapText="1"/>
    </xf>
    <xf numFmtId="43" fontId="0" fillId="0" borderId="19" xfId="0" applyNumberFormat="1" applyBorder="1" applyAlignment="1">
      <alignment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/>
    </xf>
    <xf numFmtId="43" fontId="9" fillId="0" borderId="20" xfId="0" applyNumberFormat="1" applyFont="1" applyFill="1" applyBorder="1" applyAlignment="1">
      <alignment horizontal="center" vertical="center" wrapText="1"/>
    </xf>
    <xf numFmtId="43" fontId="9" fillId="0" borderId="14" xfId="0" applyNumberFormat="1" applyFont="1" applyFill="1" applyBorder="1" applyAlignment="1">
      <alignment horizontal="center"/>
    </xf>
    <xf numFmtId="43" fontId="0" fillId="0" borderId="14" xfId="0" applyNumberFormat="1" applyFont="1" applyFill="1" applyBorder="1" applyAlignment="1">
      <alignment/>
    </xf>
    <xf numFmtId="43" fontId="0" fillId="0" borderId="19" xfId="0" applyNumberFormat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left" vertical="center" wrapText="1"/>
    </xf>
    <xf numFmtId="43" fontId="5" fillId="0" borderId="0" xfId="0" applyNumberFormat="1" applyFont="1" applyFill="1" applyAlignment="1">
      <alignment horizontal="left"/>
    </xf>
    <xf numFmtId="43" fontId="9" fillId="0" borderId="22" xfId="0" applyNumberFormat="1" applyFont="1" applyFill="1" applyBorder="1" applyAlignment="1">
      <alignment horizontal="center" vertical="center"/>
    </xf>
    <xf numFmtId="43" fontId="9" fillId="0" borderId="19" xfId="0" applyNumberFormat="1" applyFont="1" applyFill="1" applyBorder="1" applyAlignment="1">
      <alignment horizontal="center" vertical="center"/>
    </xf>
    <xf numFmtId="43" fontId="9" fillId="0" borderId="18" xfId="0" applyNumberFormat="1" applyFont="1" applyFill="1" applyBorder="1" applyAlignment="1">
      <alignment horizontal="center" vertical="center"/>
    </xf>
    <xf numFmtId="43" fontId="9" fillId="0" borderId="16" xfId="0" applyNumberFormat="1" applyFont="1" applyFill="1" applyBorder="1" applyAlignment="1">
      <alignment horizontal="center" vertical="center"/>
    </xf>
    <xf numFmtId="43" fontId="9" fillId="0" borderId="17" xfId="0" applyNumberFormat="1" applyFont="1" applyFill="1" applyBorder="1" applyAlignment="1">
      <alignment horizontal="center" vertical="center"/>
    </xf>
    <xf numFmtId="43" fontId="9" fillId="0" borderId="24" xfId="0" applyNumberFormat="1" applyFont="1" applyFill="1" applyBorder="1" applyAlignment="1">
      <alignment horizontal="center" vertical="center"/>
    </xf>
    <xf numFmtId="43" fontId="78" fillId="0" borderId="0" xfId="0" applyNumberFormat="1" applyFont="1" applyFill="1" applyBorder="1" applyAlignment="1">
      <alignment horizontal="left" vertical="center" wrapText="1"/>
    </xf>
    <xf numFmtId="43" fontId="9" fillId="0" borderId="14" xfId="50" applyNumberFormat="1" applyFont="1" applyFill="1" applyBorder="1" applyAlignment="1">
      <alignment horizontal="center" wrapText="1"/>
      <protection/>
    </xf>
    <xf numFmtId="43" fontId="9" fillId="0" borderId="13" xfId="50" applyNumberFormat="1" applyFont="1" applyFill="1" applyBorder="1" applyAlignment="1">
      <alignment horizontal="center" wrapText="1"/>
      <protection/>
    </xf>
    <xf numFmtId="43" fontId="9" fillId="0" borderId="20" xfId="50" applyNumberFormat="1" applyFont="1" applyFill="1" applyBorder="1" applyAlignment="1">
      <alignment horizontal="center" wrapText="1"/>
      <protection/>
    </xf>
    <xf numFmtId="0" fontId="5" fillId="33" borderId="0" xfId="0" applyFont="1" applyFill="1" applyAlignment="1">
      <alignment horizontal="justify" vertical="justify"/>
    </xf>
    <xf numFmtId="43" fontId="9" fillId="0" borderId="23" xfId="0" applyNumberFormat="1" applyFont="1" applyFill="1" applyBorder="1" applyAlignment="1">
      <alignment horizontal="center" vertical="center"/>
    </xf>
    <xf numFmtId="43" fontId="9" fillId="0" borderId="21" xfId="0" applyNumberFormat="1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/>
    </xf>
    <xf numFmtId="43" fontId="12" fillId="0" borderId="18" xfId="0" applyNumberFormat="1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0" borderId="11" xfId="0" applyNumberFormat="1" applyFill="1" applyBorder="1" applyAlignment="1">
      <alignment horizontal="center" vertical="center"/>
    </xf>
    <xf numFmtId="43" fontId="12" fillId="0" borderId="18" xfId="0" applyNumberFormat="1" applyFont="1" applyFill="1" applyBorder="1" applyAlignment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 wrapText="1"/>
    </xf>
    <xf numFmtId="43" fontId="12" fillId="0" borderId="11" xfId="0" applyNumberFormat="1" applyFont="1" applyFill="1" applyBorder="1" applyAlignment="1">
      <alignment horizontal="center" vertical="center" wrapText="1"/>
    </xf>
    <xf numFmtId="43" fontId="12" fillId="0" borderId="19" xfId="0" applyNumberFormat="1" applyFont="1" applyFill="1" applyBorder="1" applyAlignment="1">
      <alignment horizontal="center" vertical="center" wrapText="1"/>
    </xf>
    <xf numFmtId="43" fontId="12" fillId="0" borderId="21" xfId="0" applyNumberFormat="1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vertical="center" wrapText="1"/>
    </xf>
    <xf numFmtId="43" fontId="0" fillId="0" borderId="24" xfId="0" applyNumberFormat="1" applyFill="1" applyBorder="1" applyAlignment="1">
      <alignment horizontal="center" vertical="center" wrapText="1"/>
    </xf>
    <xf numFmtId="43" fontId="0" fillId="0" borderId="13" xfId="0" applyNumberFormat="1" applyFill="1" applyBorder="1" applyAlignment="1">
      <alignment horizontal="center" vertical="center" wrapText="1"/>
    </xf>
    <xf numFmtId="43" fontId="0" fillId="0" borderId="20" xfId="0" applyNumberFormat="1" applyFill="1" applyBorder="1" applyAlignment="1">
      <alignment horizontal="center" vertical="center" wrapText="1"/>
    </xf>
    <xf numFmtId="43" fontId="9" fillId="0" borderId="22" xfId="0" applyNumberFormat="1" applyFont="1" applyFill="1" applyBorder="1" applyAlignment="1">
      <alignment horizontal="center" vertical="center" wrapText="1"/>
    </xf>
    <xf numFmtId="43" fontId="0" fillId="0" borderId="12" xfId="0" applyNumberFormat="1" applyFill="1" applyBorder="1" applyAlignment="1">
      <alignment horizontal="center" vertical="center" wrapText="1"/>
    </xf>
    <xf numFmtId="43" fontId="0" fillId="0" borderId="23" xfId="0" applyNumberFormat="1" applyFill="1" applyBorder="1" applyAlignment="1">
      <alignment horizontal="center" vertical="center" wrapText="1"/>
    </xf>
    <xf numFmtId="43" fontId="9" fillId="0" borderId="12" xfId="0" applyNumberFormat="1" applyFont="1" applyFill="1" applyBorder="1" applyAlignment="1">
      <alignment horizontal="center" vertical="center" wrapText="1"/>
    </xf>
    <xf numFmtId="43" fontId="9" fillId="0" borderId="23" xfId="0" applyNumberFormat="1" applyFont="1" applyFill="1" applyBorder="1" applyAlignment="1">
      <alignment horizontal="center" vertical="center" wrapText="1"/>
    </xf>
    <xf numFmtId="43" fontId="12" fillId="0" borderId="14" xfId="50" applyNumberFormat="1" applyFont="1" applyFill="1" applyBorder="1" applyAlignment="1">
      <alignment horizontal="center" vertical="center"/>
      <protection/>
    </xf>
    <xf numFmtId="43" fontId="12" fillId="0" borderId="20" xfId="50" applyNumberFormat="1" applyFont="1" applyFill="1" applyBorder="1" applyAlignment="1">
      <alignment horizontal="center" vertical="center"/>
      <protection/>
    </xf>
    <xf numFmtId="43" fontId="12" fillId="0" borderId="22" xfId="50" applyNumberFormat="1" applyFont="1" applyFill="1" applyBorder="1" applyAlignment="1">
      <alignment horizontal="center" vertical="center"/>
      <protection/>
    </xf>
    <xf numFmtId="43" fontId="12" fillId="0" borderId="23" xfId="50" applyNumberFormat="1" applyFont="1" applyFill="1" applyBorder="1" applyAlignment="1">
      <alignment horizontal="center" vertical="center"/>
      <protection/>
    </xf>
    <xf numFmtId="43" fontId="12" fillId="0" borderId="14" xfId="0" applyNumberFormat="1" applyFont="1" applyFill="1" applyBorder="1" applyAlignment="1">
      <alignment horizontal="center" vertical="center"/>
    </xf>
    <xf numFmtId="43" fontId="12" fillId="0" borderId="20" xfId="0" applyNumberFormat="1" applyFont="1" applyFill="1" applyBorder="1" applyAlignment="1">
      <alignment horizontal="center" vertical="center"/>
    </xf>
    <xf numFmtId="43" fontId="9" fillId="0" borderId="20" xfId="50" applyNumberFormat="1" applyFont="1" applyFill="1" applyBorder="1" applyAlignment="1">
      <alignment horizontal="center" vertical="center" wrapText="1"/>
      <protection/>
    </xf>
    <xf numFmtId="43" fontId="5" fillId="35" borderId="16" xfId="0" applyNumberFormat="1" applyFont="1" applyFill="1" applyBorder="1" applyAlignment="1">
      <alignment horizontal="center" vertical="center" wrapText="1"/>
    </xf>
    <xf numFmtId="43" fontId="5" fillId="35" borderId="24" xfId="0" applyNumberFormat="1" applyFont="1" applyFill="1" applyBorder="1" applyAlignment="1">
      <alignment horizontal="center" vertical="center" wrapText="1"/>
    </xf>
    <xf numFmtId="43" fontId="5" fillId="35" borderId="14" xfId="0" applyNumberFormat="1" applyFont="1" applyFill="1" applyBorder="1" applyAlignment="1">
      <alignment horizontal="center" vertical="top" wrapText="1"/>
    </xf>
    <xf numFmtId="43" fontId="5" fillId="35" borderId="20" xfId="0" applyNumberFormat="1" applyFont="1" applyFill="1" applyBorder="1" applyAlignment="1">
      <alignment horizontal="center" vertical="top" wrapText="1"/>
    </xf>
    <xf numFmtId="43" fontId="9" fillId="0" borderId="13" xfId="50" applyNumberFormat="1" applyFont="1" applyFill="1" applyBorder="1" applyAlignment="1">
      <alignment horizontal="center" vertical="center" wrapText="1"/>
      <protection/>
    </xf>
    <xf numFmtId="43" fontId="9" fillId="0" borderId="22" xfId="50" applyNumberFormat="1" applyFont="1" applyFill="1" applyBorder="1" applyAlignment="1">
      <alignment horizontal="center" vertical="center" wrapText="1"/>
      <protection/>
    </xf>
    <xf numFmtId="43" fontId="9" fillId="0" borderId="18" xfId="50" applyNumberFormat="1" applyFont="1" applyFill="1" applyBorder="1" applyAlignment="1">
      <alignment horizontal="center" vertical="center" wrapText="1"/>
      <protection/>
    </xf>
    <xf numFmtId="43" fontId="9" fillId="0" borderId="12" xfId="50" applyNumberFormat="1" applyFont="1" applyFill="1" applyBorder="1" applyAlignment="1">
      <alignment horizontal="center" vertical="center" wrapText="1"/>
      <protection/>
    </xf>
    <xf numFmtId="43" fontId="9" fillId="0" borderId="10" xfId="50" applyNumberFormat="1" applyFont="1" applyFill="1" applyBorder="1" applyAlignment="1">
      <alignment horizontal="center" vertical="center" wrapText="1"/>
      <protection/>
    </xf>
    <xf numFmtId="43" fontId="9" fillId="0" borderId="23" xfId="50" applyNumberFormat="1" applyFont="1" applyFill="1" applyBorder="1" applyAlignment="1">
      <alignment horizontal="center" vertical="center" wrapText="1"/>
      <protection/>
    </xf>
    <xf numFmtId="43" fontId="9" fillId="0" borderId="11" xfId="50" applyNumberFormat="1" applyFont="1" applyFill="1" applyBorder="1" applyAlignment="1">
      <alignment horizontal="center" vertical="center" wrapText="1"/>
      <protection/>
    </xf>
    <xf numFmtId="43" fontId="9" fillId="0" borderId="16" xfId="50" applyNumberFormat="1" applyFont="1" applyFill="1" applyBorder="1" applyAlignment="1">
      <alignment horizontal="center" vertical="center" wrapText="1"/>
      <protection/>
    </xf>
    <xf numFmtId="43" fontId="9" fillId="0" borderId="24" xfId="50" applyNumberFormat="1" applyFont="1" applyFill="1" applyBorder="1" applyAlignment="1">
      <alignment horizontal="center" vertical="center" wrapText="1"/>
      <protection/>
    </xf>
    <xf numFmtId="43" fontId="22" fillId="0" borderId="22" xfId="50" applyNumberFormat="1" applyFont="1" applyFill="1" applyBorder="1" applyAlignment="1">
      <alignment horizontal="center" vertical="center"/>
      <protection/>
    </xf>
    <xf numFmtId="43" fontId="22" fillId="0" borderId="19" xfId="50" applyNumberFormat="1" applyFont="1" applyFill="1" applyBorder="1" applyAlignment="1">
      <alignment horizontal="center" vertical="center"/>
      <protection/>
    </xf>
    <xf numFmtId="43" fontId="22" fillId="0" borderId="18" xfId="50" applyNumberFormat="1" applyFont="1" applyFill="1" applyBorder="1" applyAlignment="1">
      <alignment horizontal="center" vertical="center"/>
      <protection/>
    </xf>
    <xf numFmtId="43" fontId="22" fillId="0" borderId="23" xfId="50" applyNumberFormat="1" applyFont="1" applyFill="1" applyBorder="1" applyAlignment="1">
      <alignment horizontal="center" vertical="center"/>
      <protection/>
    </xf>
    <xf numFmtId="43" fontId="22" fillId="0" borderId="21" xfId="50" applyNumberFormat="1" applyFont="1" applyFill="1" applyBorder="1" applyAlignment="1">
      <alignment horizontal="center" vertical="center"/>
      <protection/>
    </xf>
    <xf numFmtId="43" fontId="22" fillId="0" borderId="11" xfId="50" applyNumberFormat="1" applyFont="1" applyFill="1" applyBorder="1" applyAlignment="1">
      <alignment horizontal="center" vertical="center"/>
      <protection/>
    </xf>
    <xf numFmtId="43" fontId="12" fillId="0" borderId="13" xfId="0" applyNumberFormat="1" applyFont="1" applyFill="1" applyBorder="1" applyAlignment="1">
      <alignment horizontal="center" vertical="center"/>
    </xf>
    <xf numFmtId="43" fontId="9" fillId="0" borderId="16" xfId="50" applyNumberFormat="1" applyFont="1" applyFill="1" applyBorder="1" applyAlignment="1">
      <alignment horizontal="center"/>
      <protection/>
    </xf>
    <xf numFmtId="43" fontId="9" fillId="0" borderId="17" xfId="50" applyNumberFormat="1" applyFont="1" applyFill="1" applyBorder="1" applyAlignment="1">
      <alignment horizontal="center"/>
      <protection/>
    </xf>
    <xf numFmtId="43" fontId="9" fillId="0" borderId="24" xfId="50" applyNumberFormat="1" applyFont="1" applyFill="1" applyBorder="1" applyAlignment="1">
      <alignment horizontal="center"/>
      <protection/>
    </xf>
    <xf numFmtId="43" fontId="9" fillId="0" borderId="13" xfId="50" applyNumberFormat="1" applyFont="1" applyFill="1" applyBorder="1" applyAlignment="1">
      <alignment horizontal="center" vertical="center"/>
      <protection/>
    </xf>
    <xf numFmtId="43" fontId="9" fillId="0" borderId="20" xfId="50" applyNumberFormat="1" applyFont="1" applyFill="1" applyBorder="1" applyAlignment="1">
      <alignment horizontal="center" vertical="center"/>
      <protection/>
    </xf>
    <xf numFmtId="43" fontId="5" fillId="0" borderId="0" xfId="0" applyNumberFormat="1" applyFont="1" applyFill="1" applyBorder="1" applyAlignment="1">
      <alignment horizontal="center"/>
    </xf>
    <xf numFmtId="43" fontId="12" fillId="35" borderId="22" xfId="0" applyNumberFormat="1" applyFont="1" applyFill="1" applyBorder="1" applyAlignment="1">
      <alignment horizontal="center" vertical="center"/>
    </xf>
    <xf numFmtId="43" fontId="12" fillId="35" borderId="19" xfId="0" applyNumberFormat="1" applyFont="1" applyFill="1" applyBorder="1" applyAlignment="1">
      <alignment horizontal="center" vertical="center"/>
    </xf>
    <xf numFmtId="43" fontId="12" fillId="35" borderId="18" xfId="0" applyNumberFormat="1" applyFont="1" applyFill="1" applyBorder="1" applyAlignment="1">
      <alignment horizontal="center" vertical="center"/>
    </xf>
    <xf numFmtId="43" fontId="12" fillId="35" borderId="23" xfId="0" applyNumberFormat="1" applyFont="1" applyFill="1" applyBorder="1" applyAlignment="1">
      <alignment horizontal="center" vertical="center"/>
    </xf>
    <xf numFmtId="43" fontId="12" fillId="35" borderId="21" xfId="0" applyNumberFormat="1" applyFont="1" applyFill="1" applyBorder="1" applyAlignment="1">
      <alignment horizontal="center" vertical="center"/>
    </xf>
    <xf numFmtId="43" fontId="12" fillId="35" borderId="11" xfId="0" applyNumberFormat="1" applyFont="1" applyFill="1" applyBorder="1" applyAlignment="1">
      <alignment horizontal="center" vertical="center"/>
    </xf>
    <xf numFmtId="43" fontId="5" fillId="35" borderId="16" xfId="0" applyNumberFormat="1" applyFont="1" applyFill="1" applyBorder="1" applyAlignment="1">
      <alignment horizontal="center" vertical="center"/>
    </xf>
    <xf numFmtId="43" fontId="5" fillId="35" borderId="24" xfId="0" applyNumberFormat="1" applyFont="1" applyFill="1" applyBorder="1" applyAlignment="1">
      <alignment horizontal="center" vertical="center"/>
    </xf>
    <xf numFmtId="43" fontId="5" fillId="35" borderId="14" xfId="0" applyNumberFormat="1" applyFont="1" applyFill="1" applyBorder="1" applyAlignment="1">
      <alignment horizontal="center" vertical="center" wrapText="1"/>
    </xf>
    <xf numFmtId="43" fontId="5" fillId="35" borderId="13" xfId="0" applyNumberFormat="1" applyFont="1" applyFill="1" applyBorder="1" applyAlignment="1">
      <alignment horizontal="center" vertical="center" wrapText="1"/>
    </xf>
    <xf numFmtId="43" fontId="5" fillId="35" borderId="20" xfId="0" applyNumberFormat="1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wrapText="1"/>
    </xf>
    <xf numFmtId="43" fontId="9" fillId="0" borderId="17" xfId="0" applyNumberFormat="1" applyFont="1" applyFill="1" applyBorder="1" applyAlignment="1">
      <alignment horizontal="center" wrapText="1"/>
    </xf>
    <xf numFmtId="43" fontId="9" fillId="0" borderId="24" xfId="0" applyNumberFormat="1" applyFont="1" applyFill="1" applyBorder="1" applyAlignment="1">
      <alignment horizontal="center" wrapText="1"/>
    </xf>
    <xf numFmtId="43" fontId="3" fillId="0" borderId="19" xfId="0" applyNumberFormat="1" applyFont="1" applyFill="1" applyBorder="1" applyAlignment="1">
      <alignment/>
    </xf>
    <xf numFmtId="43" fontId="5" fillId="0" borderId="19" xfId="0" applyNumberFormat="1" applyFont="1" applyFill="1" applyBorder="1" applyAlignment="1">
      <alignment/>
    </xf>
    <xf numFmtId="43" fontId="9" fillId="0" borderId="15" xfId="0" applyNumberFormat="1" applyFont="1" applyFill="1" applyBorder="1" applyAlignment="1">
      <alignment horizontal="center"/>
    </xf>
    <xf numFmtId="43" fontId="18" fillId="0" borderId="24" xfId="0" applyNumberFormat="1" applyFont="1" applyFill="1" applyBorder="1" applyAlignment="1">
      <alignment/>
    </xf>
    <xf numFmtId="43" fontId="18" fillId="0" borderId="17" xfId="0" applyNumberFormat="1" applyFont="1" applyFill="1" applyBorder="1" applyAlignment="1">
      <alignment horizontal="center" vertical="center"/>
    </xf>
    <xf numFmtId="43" fontId="18" fillId="0" borderId="24" xfId="0" applyNumberFormat="1" applyFont="1" applyFill="1" applyBorder="1" applyAlignment="1">
      <alignment horizontal="center" vertical="center"/>
    </xf>
    <xf numFmtId="43" fontId="18" fillId="0" borderId="24" xfId="0" applyNumberFormat="1" applyFont="1" applyFill="1" applyBorder="1" applyAlignment="1">
      <alignment horizontal="center"/>
    </xf>
    <xf numFmtId="43" fontId="5" fillId="0" borderId="0" xfId="50" applyNumberFormat="1" applyFont="1" applyFill="1" applyAlignment="1">
      <alignment horizontal="left"/>
      <protection/>
    </xf>
    <xf numFmtId="43" fontId="12" fillId="0" borderId="16" xfId="50" applyNumberFormat="1" applyFont="1" applyFill="1" applyBorder="1" applyAlignment="1">
      <alignment horizontal="center" vertical="center"/>
      <protection/>
    </xf>
    <xf numFmtId="43" fontId="0" fillId="0" borderId="17" xfId="0" applyNumberFormat="1" applyFill="1" applyBorder="1" applyAlignment="1">
      <alignment horizontal="center" vertical="center"/>
    </xf>
    <xf numFmtId="43" fontId="0" fillId="0" borderId="24" xfId="0" applyNumberFormat="1" applyFill="1" applyBorder="1" applyAlignment="1">
      <alignment horizontal="center" vertical="center"/>
    </xf>
    <xf numFmtId="43" fontId="9" fillId="0" borderId="16" xfId="50" applyNumberFormat="1" applyFont="1" applyFill="1" applyBorder="1" applyAlignment="1">
      <alignment horizontal="center" vertical="center"/>
      <protection/>
    </xf>
    <xf numFmtId="43" fontId="9" fillId="0" borderId="14" xfId="50" applyNumberFormat="1" applyFont="1" applyFill="1" applyBorder="1" applyAlignment="1">
      <alignment horizontal="center" vertical="center"/>
      <protection/>
    </xf>
    <xf numFmtId="43" fontId="18" fillId="0" borderId="13" xfId="0" applyNumberFormat="1" applyFont="1" applyFill="1" applyBorder="1" applyAlignment="1">
      <alignment vertical="center"/>
    </xf>
    <xf numFmtId="43" fontId="18" fillId="0" borderId="20" xfId="0" applyNumberFormat="1" applyFont="1" applyFill="1" applyBorder="1" applyAlignment="1">
      <alignment vertical="center"/>
    </xf>
    <xf numFmtId="4" fontId="5" fillId="33" borderId="0" xfId="50" applyNumberFormat="1" applyFont="1" applyFill="1" applyAlignment="1">
      <alignment horizontal="left"/>
      <protection/>
    </xf>
    <xf numFmtId="4" fontId="5" fillId="33" borderId="0" xfId="50" applyNumberFormat="1" applyFont="1" applyFill="1" applyAlignment="1">
      <alignment horizontal="left" vertical="center"/>
      <protection/>
    </xf>
    <xf numFmtId="0" fontId="5" fillId="33" borderId="0" xfId="50" applyFont="1" applyFill="1" applyAlignment="1">
      <alignment horizontal="left"/>
      <protection/>
    </xf>
    <xf numFmtId="49" fontId="14" fillId="0" borderId="0" xfId="50" applyNumberFormat="1" applyFont="1" applyFill="1" applyBorder="1" applyAlignment="1">
      <alignment horizontal="left" wrapText="1"/>
      <protection/>
    </xf>
    <xf numFmtId="43" fontId="5" fillId="0" borderId="0" xfId="50" applyNumberFormat="1" applyFont="1" applyAlignment="1">
      <alignment vertical="top" wrapText="1"/>
      <protection/>
    </xf>
    <xf numFmtId="43" fontId="14" fillId="0" borderId="0" xfId="50" applyNumberFormat="1" applyFont="1" applyAlignment="1">
      <alignment vertical="top" wrapText="1"/>
      <protection/>
    </xf>
    <xf numFmtId="43" fontId="5" fillId="0" borderId="0" xfId="50" applyNumberFormat="1" applyFont="1" applyAlignment="1">
      <alignment horizontal="left" vertical="top" wrapText="1"/>
      <protection/>
    </xf>
    <xf numFmtId="43" fontId="5" fillId="0" borderId="0" xfId="50" applyNumberFormat="1" applyFont="1" applyAlignment="1">
      <alignment wrapText="1"/>
      <protection/>
    </xf>
    <xf numFmtId="43" fontId="5" fillId="0" borderId="0" xfId="50" applyNumberFormat="1" applyFont="1" applyAlignment="1">
      <alignment horizontal="right" vertical="top" wrapText="1"/>
      <protection/>
    </xf>
    <xf numFmtId="43" fontId="12" fillId="0" borderId="16" xfId="50" applyNumberFormat="1" applyFont="1" applyFill="1" applyBorder="1" applyAlignment="1">
      <alignment horizontal="center" vertical="center" wrapText="1"/>
      <protection/>
    </xf>
    <xf numFmtId="43" fontId="3" fillId="0" borderId="19" xfId="50" applyNumberFormat="1" applyFont="1" applyBorder="1" applyAlignment="1">
      <alignment horizontal="left" vertical="top" wrapText="1"/>
      <protection/>
    </xf>
    <xf numFmtId="43" fontId="5" fillId="0" borderId="19" xfId="50" applyNumberFormat="1" applyFont="1" applyBorder="1" applyAlignment="1">
      <alignment horizontal="left" vertical="top" wrapText="1"/>
      <protection/>
    </xf>
    <xf numFmtId="43" fontId="5" fillId="0" borderId="0" xfId="50" applyNumberFormat="1" applyFont="1" applyBorder="1" applyAlignment="1">
      <alignment horizontal="left" vertical="top" wrapText="1"/>
      <protection/>
    </xf>
    <xf numFmtId="43" fontId="3" fillId="0" borderId="0" xfId="0" applyNumberFormat="1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left" vertical="center"/>
    </xf>
    <xf numFmtId="43" fontId="3" fillId="0" borderId="0" xfId="0" applyNumberFormat="1" applyFont="1" applyFill="1" applyAlignment="1">
      <alignment horizontal="right" vertical="center"/>
    </xf>
    <xf numFmtId="43" fontId="5" fillId="0" borderId="0" xfId="0" applyNumberFormat="1" applyFont="1" applyBorder="1" applyAlignment="1">
      <alignment horizontal="left" vertical="center" wrapText="1"/>
    </xf>
    <xf numFmtId="43" fontId="0" fillId="0" borderId="0" xfId="0" applyNumberFormat="1" applyBorder="1" applyAlignment="1">
      <alignment horizontal="left" vertical="center" wrapText="1"/>
    </xf>
    <xf numFmtId="2" fontId="3" fillId="0" borderId="0" xfId="50" applyNumberFormat="1" applyFont="1" applyFill="1" applyBorder="1" applyAlignment="1">
      <alignment horizontal="left"/>
      <protection/>
    </xf>
    <xf numFmtId="2" fontId="2" fillId="0" borderId="14" xfId="50" applyNumberFormat="1" applyFont="1" applyFill="1" applyBorder="1" applyAlignment="1">
      <alignment horizontal="center" wrapText="1"/>
      <protection/>
    </xf>
    <xf numFmtId="2" fontId="0" fillId="0" borderId="13" xfId="0" applyNumberFormat="1" applyFill="1" applyBorder="1" applyAlignment="1">
      <alignment horizontal="center" wrapText="1"/>
    </xf>
    <xf numFmtId="2" fontId="0" fillId="0" borderId="20" xfId="0" applyNumberFormat="1" applyFill="1" applyBorder="1" applyAlignment="1">
      <alignment horizontal="center" wrapText="1"/>
    </xf>
    <xf numFmtId="2" fontId="7" fillId="0" borderId="18" xfId="50" applyNumberFormat="1" applyFont="1" applyFill="1" applyBorder="1" applyAlignment="1">
      <alignment horizontal="center" vertical="center"/>
      <protection/>
    </xf>
    <xf numFmtId="2" fontId="7" fillId="0" borderId="11" xfId="50" applyNumberFormat="1" applyFont="1" applyFill="1" applyBorder="1" applyAlignment="1">
      <alignment horizontal="center" vertical="center"/>
      <protection/>
    </xf>
    <xf numFmtId="2" fontId="5" fillId="0" borderId="0" xfId="50" applyNumberFormat="1" applyFont="1" applyFill="1" applyAlignment="1">
      <alignment horizontal="left"/>
      <protection/>
    </xf>
    <xf numFmtId="2" fontId="7" fillId="0" borderId="14" xfId="50" applyNumberFormat="1" applyFont="1" applyFill="1" applyBorder="1" applyAlignment="1">
      <alignment horizontal="center" vertical="center"/>
      <protection/>
    </xf>
    <xf numFmtId="2" fontId="8" fillId="0" borderId="20" xfId="50" applyNumberFormat="1" applyFont="1" applyFill="1" applyBorder="1" applyAlignment="1">
      <alignment vertical="center"/>
      <protection/>
    </xf>
    <xf numFmtId="2" fontId="3" fillId="0" borderId="19" xfId="50" applyNumberFormat="1" applyFont="1" applyBorder="1" applyAlignment="1">
      <alignment horizontal="left" vertical="center" wrapText="1"/>
      <protection/>
    </xf>
    <xf numFmtId="2" fontId="5" fillId="0" borderId="19" xfId="50" applyNumberFormat="1" applyFont="1" applyBorder="1" applyAlignment="1">
      <alignment horizontal="left" vertical="center" wrapText="1"/>
      <protection/>
    </xf>
    <xf numFmtId="2" fontId="5" fillId="0" borderId="0" xfId="50" applyNumberFormat="1" applyFont="1" applyBorder="1" applyAlignment="1">
      <alignment horizontal="left" vertical="center" wrapText="1"/>
      <protection/>
    </xf>
    <xf numFmtId="2" fontId="3" fillId="0" borderId="0" xfId="50" applyNumberFormat="1" applyFont="1" applyFill="1" applyBorder="1" applyAlignment="1">
      <alignment horizontal="justify" wrapText="1"/>
      <protection/>
    </xf>
    <xf numFmtId="2" fontId="3" fillId="0" borderId="0" xfId="50" applyNumberFormat="1" applyFont="1" applyFill="1" applyBorder="1" applyAlignment="1">
      <alignment horizontal="justify"/>
      <protection/>
    </xf>
    <xf numFmtId="43" fontId="2" fillId="0" borderId="16" xfId="0" applyNumberFormat="1" applyFont="1" applyFill="1" applyBorder="1" applyAlignment="1">
      <alignment horizontal="center"/>
    </xf>
    <xf numFmtId="43" fontId="5" fillId="0" borderId="24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20" xfId="0" applyNumberFormat="1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43" fontId="7" fillId="0" borderId="20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/>
    </xf>
    <xf numFmtId="43" fontId="5" fillId="0" borderId="24" xfId="0" applyNumberFormat="1" applyFont="1" applyFill="1" applyBorder="1" applyAlignment="1">
      <alignment horizontal="center" vertical="center"/>
    </xf>
    <xf numFmtId="43" fontId="2" fillId="0" borderId="14" xfId="50" applyNumberFormat="1" applyFont="1" applyFill="1" applyBorder="1" applyAlignment="1">
      <alignment horizontal="center" vertical="center" wrapText="1"/>
      <protection/>
    </xf>
    <xf numFmtId="43" fontId="2" fillId="0" borderId="13" xfId="50" applyNumberFormat="1" applyFont="1" applyFill="1" applyBorder="1" applyAlignment="1">
      <alignment horizontal="center" vertical="center" wrapText="1"/>
      <protection/>
    </xf>
    <xf numFmtId="43" fontId="2" fillId="0" borderId="18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2" fillId="0" borderId="22" xfId="0" applyNumberFormat="1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43" fontId="2" fillId="0" borderId="21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left" vertical="center"/>
    </xf>
    <xf numFmtId="43" fontId="5" fillId="0" borderId="0" xfId="0" applyNumberFormat="1" applyFont="1" applyFill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right" vertical="top" wrapText="1"/>
    </xf>
    <xf numFmtId="43" fontId="5" fillId="0" borderId="0" xfId="0" applyNumberFormat="1" applyFont="1" applyFill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43" fontId="5" fillId="0" borderId="24" xfId="0" applyNumberFormat="1" applyFont="1" applyFill="1" applyBorder="1" applyAlignment="1">
      <alignment horizontal="center" vertical="top"/>
    </xf>
    <xf numFmtId="43" fontId="3" fillId="0" borderId="19" xfId="0" applyNumberFormat="1" applyFont="1" applyBorder="1" applyAlignment="1">
      <alignment horizontal="left" vertical="center"/>
    </xf>
    <xf numFmtId="43" fontId="5" fillId="0" borderId="19" xfId="0" applyNumberFormat="1" applyFont="1" applyBorder="1" applyAlignment="1">
      <alignment horizontal="left" vertical="center"/>
    </xf>
    <xf numFmtId="43" fontId="2" fillId="0" borderId="14" xfId="0" applyNumberFormat="1" applyFont="1" applyFill="1" applyBorder="1" applyAlignment="1">
      <alignment horizontal="center" vertical="top" wrapText="1"/>
    </xf>
    <xf numFmtId="43" fontId="5" fillId="0" borderId="13" xfId="0" applyNumberFormat="1" applyFont="1" applyFill="1" applyBorder="1" applyAlignment="1">
      <alignment horizontal="center" vertical="top" wrapText="1"/>
    </xf>
    <xf numFmtId="43" fontId="7" fillId="0" borderId="18" xfId="0" applyNumberFormat="1" applyFont="1" applyFill="1" applyBorder="1" applyAlignment="1">
      <alignment horizontal="center" vertical="top" wrapText="1"/>
    </xf>
    <xf numFmtId="43" fontId="7" fillId="0" borderId="10" xfId="0" applyNumberFormat="1" applyFont="1" applyFill="1" applyBorder="1" applyAlignment="1">
      <alignment vertical="top"/>
    </xf>
    <xf numFmtId="43" fontId="3" fillId="0" borderId="0" xfId="0" applyNumberFormat="1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left" vertical="center"/>
    </xf>
    <xf numFmtId="43" fontId="2" fillId="0" borderId="18" xfId="0" applyNumberFormat="1" applyFont="1" applyFill="1" applyBorder="1" applyAlignment="1">
      <alignment horizontal="center" vertical="center"/>
    </xf>
    <xf numFmtId="43" fontId="18" fillId="0" borderId="11" xfId="0" applyNumberFormat="1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 2 3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9"/>
  <sheetViews>
    <sheetView showGridLines="0" tabSelected="1" zoomScaleSheetLayoutView="85" workbookViewId="0" topLeftCell="A1">
      <selection activeCell="A1" sqref="A1"/>
    </sheetView>
  </sheetViews>
  <sheetFormatPr defaultColWidth="9.140625" defaultRowHeight="11.25" customHeight="1"/>
  <cols>
    <col min="1" max="1" width="51.7109375" style="103" customWidth="1"/>
    <col min="2" max="2" width="15.28125" style="103" customWidth="1"/>
    <col min="3" max="11" width="18.421875" style="103" customWidth="1"/>
    <col min="12" max="12" width="11.7109375" style="103" customWidth="1"/>
    <col min="13" max="16384" width="9.140625" style="103" customWidth="1"/>
  </cols>
  <sheetData>
    <row r="1" ht="12.75"/>
    <row r="2" ht="25.5" customHeight="1">
      <c r="A2" s="497" t="s">
        <v>1050</v>
      </c>
    </row>
    <row r="3" ht="15.75" customHeight="1">
      <c r="A3" s="289" t="s">
        <v>1051</v>
      </c>
    </row>
    <row r="4" ht="15.75" customHeight="1">
      <c r="A4" s="289" t="s">
        <v>1052</v>
      </c>
    </row>
    <row r="5" ht="15.75" customHeight="1">
      <c r="A5" s="289" t="s">
        <v>1053</v>
      </c>
    </row>
    <row r="6" ht="15.75">
      <c r="A6" s="104" t="s">
        <v>84</v>
      </c>
    </row>
    <row r="7" ht="12.75">
      <c r="A7" s="105"/>
    </row>
    <row r="8" ht="12.75">
      <c r="A8" s="484" t="s">
        <v>1050</v>
      </c>
    </row>
    <row r="9" ht="12.75">
      <c r="A9" s="106" t="s">
        <v>68</v>
      </c>
    </row>
    <row r="10" spans="1:10" ht="12.75">
      <c r="A10" s="107" t="s">
        <v>69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2.75">
      <c r="A11" s="106" t="s">
        <v>70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484" t="s">
        <v>1054</v>
      </c>
      <c r="B13" s="108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C13" s="107"/>
      <c r="D13" s="107"/>
      <c r="E13" s="107"/>
      <c r="F13" s="107"/>
      <c r="G13" s="107"/>
      <c r="H13" s="107"/>
      <c r="I13" s="107"/>
      <c r="J13" s="107"/>
    </row>
    <row r="14" spans="1:1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ht="12.75"/>
    <row r="17" spans="1:10" ht="11.25" customHeight="1" hidden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2" ht="11.25" customHeight="1">
      <c r="A18" s="103" t="s">
        <v>329</v>
      </c>
      <c r="B18" s="110"/>
      <c r="H18" s="111" t="s">
        <v>360</v>
      </c>
      <c r="I18" s="112"/>
      <c r="J18" s="113"/>
      <c r="K18" s="110"/>
      <c r="L18" s="110"/>
    </row>
    <row r="19" spans="1:12" ht="11.25" customHeight="1">
      <c r="A19" s="536"/>
      <c r="B19" s="734" t="s">
        <v>467</v>
      </c>
      <c r="C19" s="537" t="s">
        <v>197</v>
      </c>
      <c r="D19" s="741" t="s">
        <v>72</v>
      </c>
      <c r="E19" s="742"/>
      <c r="F19" s="742"/>
      <c r="G19" s="742"/>
      <c r="H19" s="524" t="s">
        <v>107</v>
      </c>
      <c r="I19" s="114"/>
      <c r="J19" s="114"/>
      <c r="K19" s="114"/>
      <c r="L19" s="110"/>
    </row>
    <row r="20" spans="1:12" ht="11.25" customHeight="1">
      <c r="A20" s="544" t="s">
        <v>73</v>
      </c>
      <c r="B20" s="735"/>
      <c r="C20" s="539" t="s">
        <v>75</v>
      </c>
      <c r="D20" s="524" t="str">
        <f>CONCATENATE("No ",B13)</f>
        <v>No Bimestre</v>
      </c>
      <c r="E20" s="524" t="s">
        <v>77</v>
      </c>
      <c r="F20" s="524" t="str">
        <f>CONCATENATE("Até o  ",B13)</f>
        <v>Até o  Bimestre</v>
      </c>
      <c r="G20" s="524" t="s">
        <v>77</v>
      </c>
      <c r="H20" s="524"/>
      <c r="I20" s="110"/>
      <c r="J20" s="114"/>
      <c r="K20" s="110"/>
      <c r="L20" s="110"/>
    </row>
    <row r="21" spans="1:12" ht="11.25" customHeight="1">
      <c r="A21" s="540"/>
      <c r="B21" s="740"/>
      <c r="C21" s="542" t="s">
        <v>79</v>
      </c>
      <c r="D21" s="534" t="s">
        <v>80</v>
      </c>
      <c r="E21" s="534" t="s">
        <v>81</v>
      </c>
      <c r="F21" s="534" t="s">
        <v>100</v>
      </c>
      <c r="G21" s="534" t="s">
        <v>101</v>
      </c>
      <c r="H21" s="534" t="s">
        <v>102</v>
      </c>
      <c r="I21" s="110"/>
      <c r="J21" s="114"/>
      <c r="K21" s="110"/>
      <c r="L21" s="110"/>
    </row>
    <row r="22" spans="1:12" ht="12.75">
      <c r="A22" s="115" t="s">
        <v>330</v>
      </c>
      <c r="B22" s="116">
        <f>B23+B63</f>
        <v>1092641500</v>
      </c>
      <c r="C22" s="117">
        <f>C23+C63</f>
        <v>1092641500.31</v>
      </c>
      <c r="D22" s="118">
        <f>D23+D63</f>
        <v>210089105.75</v>
      </c>
      <c r="E22" s="119">
        <f aca="true" t="shared" si="0" ref="E22:E53">IF(C22&gt;0,D22/C22,0)*100</f>
        <v>19.22763373809199</v>
      </c>
      <c r="F22" s="119">
        <f>F23+F63</f>
        <v>210089105.75</v>
      </c>
      <c r="G22" s="119">
        <f aca="true" t="shared" si="1" ref="G22:G53">IF(C22&gt;0,F22/C22,0)*100</f>
        <v>19.22763373809199</v>
      </c>
      <c r="H22" s="118">
        <f aca="true" t="shared" si="2" ref="H22:H53">C22-F22</f>
        <v>882552394.56</v>
      </c>
      <c r="I22" s="110"/>
      <c r="J22" s="110"/>
      <c r="K22" s="110"/>
      <c r="L22" s="110"/>
    </row>
    <row r="23" spans="1:12" ht="12.75">
      <c r="A23" s="120" t="s">
        <v>7</v>
      </c>
      <c r="B23" s="116">
        <f>B24+B28+B33+B41+B42+B43+B49+B58</f>
        <v>1090550500</v>
      </c>
      <c r="C23" s="116">
        <f>C24+C28+C33+C41+C42+C43+C49+C58</f>
        <v>1090550500.31</v>
      </c>
      <c r="D23" s="118">
        <f>D24+D28+D33+D41+D42+D43+D49+D58</f>
        <v>208830429.17</v>
      </c>
      <c r="E23" s="118">
        <f t="shared" si="0"/>
        <v>19.14908379856209</v>
      </c>
      <c r="F23" s="118">
        <f>F24+F28+F33+F41+F42+F43+F49+F58</f>
        <v>208830429.17</v>
      </c>
      <c r="G23" s="118">
        <f t="shared" si="1"/>
        <v>19.14908379856209</v>
      </c>
      <c r="H23" s="118">
        <f t="shared" si="2"/>
        <v>881720071.14</v>
      </c>
      <c r="I23" s="110"/>
      <c r="J23" s="110"/>
      <c r="K23" s="110"/>
      <c r="L23" s="110"/>
    </row>
    <row r="24" spans="1:12" ht="12.75">
      <c r="A24" s="120" t="s">
        <v>677</v>
      </c>
      <c r="B24" s="116">
        <f>SUM(B25:B27)</f>
        <v>320597000</v>
      </c>
      <c r="C24" s="116">
        <f>SUM(C25:C27)</f>
        <v>320597000</v>
      </c>
      <c r="D24" s="118">
        <f>SUM(D25:D27)</f>
        <v>48735254.839999996</v>
      </c>
      <c r="E24" s="118">
        <f t="shared" si="0"/>
        <v>15.201407012542226</v>
      </c>
      <c r="F24" s="118">
        <f>SUM(F25:F27)</f>
        <v>48735254.839999996</v>
      </c>
      <c r="G24" s="118">
        <f t="shared" si="1"/>
        <v>15.201407012542226</v>
      </c>
      <c r="H24" s="118">
        <f t="shared" si="2"/>
        <v>271861745.16</v>
      </c>
      <c r="I24" s="110"/>
      <c r="J24" s="110"/>
      <c r="K24" s="110"/>
      <c r="L24" s="110"/>
    </row>
    <row r="25" spans="1:12" ht="12.75">
      <c r="A25" s="120" t="s">
        <v>8</v>
      </c>
      <c r="B25" s="116">
        <v>286915000</v>
      </c>
      <c r="C25" s="116">
        <v>286915000</v>
      </c>
      <c r="D25" s="118">
        <v>44721935.04</v>
      </c>
      <c r="E25" s="118">
        <f t="shared" si="0"/>
        <v>15.587172172943205</v>
      </c>
      <c r="F25" s="118">
        <v>44721935.04</v>
      </c>
      <c r="G25" s="118">
        <f t="shared" si="1"/>
        <v>15.587172172943205</v>
      </c>
      <c r="H25" s="118">
        <f t="shared" si="2"/>
        <v>242193064.96</v>
      </c>
      <c r="I25" s="110"/>
      <c r="J25" s="110"/>
      <c r="K25" s="110"/>
      <c r="L25" s="110"/>
    </row>
    <row r="26" spans="1:12" ht="12.75">
      <c r="A26" s="120" t="s">
        <v>9</v>
      </c>
      <c r="B26" s="116">
        <v>33492000</v>
      </c>
      <c r="C26" s="116">
        <v>33492000</v>
      </c>
      <c r="D26" s="118">
        <v>3947511.47</v>
      </c>
      <c r="E26" s="118">
        <f t="shared" si="0"/>
        <v>11.78643099844739</v>
      </c>
      <c r="F26" s="118">
        <v>3947511.47</v>
      </c>
      <c r="G26" s="118">
        <f t="shared" si="1"/>
        <v>11.78643099844739</v>
      </c>
      <c r="H26" s="118">
        <f t="shared" si="2"/>
        <v>29544488.53</v>
      </c>
      <c r="I26" s="110"/>
      <c r="J26" s="110"/>
      <c r="K26" s="110"/>
      <c r="L26" s="110"/>
    </row>
    <row r="27" spans="1:12" ht="12.75">
      <c r="A27" s="120" t="s">
        <v>10</v>
      </c>
      <c r="B27" s="116">
        <v>190000</v>
      </c>
      <c r="C27" s="116">
        <v>190000</v>
      </c>
      <c r="D27" s="118">
        <v>65808.33</v>
      </c>
      <c r="E27" s="118">
        <f t="shared" si="0"/>
        <v>34.635963157894736</v>
      </c>
      <c r="F27" s="118">
        <v>65808.33</v>
      </c>
      <c r="G27" s="118">
        <f t="shared" si="1"/>
        <v>34.635963157894736</v>
      </c>
      <c r="H27" s="118">
        <f t="shared" si="2"/>
        <v>124191.67</v>
      </c>
      <c r="I27" s="110"/>
      <c r="J27" s="110"/>
      <c r="K27" s="110"/>
      <c r="L27" s="110"/>
    </row>
    <row r="28" spans="1:12" ht="12.75">
      <c r="A28" s="120" t="s">
        <v>678</v>
      </c>
      <c r="B28" s="116">
        <f>SUM(B29:B32)</f>
        <v>72723300</v>
      </c>
      <c r="C28" s="116">
        <f>SUM(C29:C32)</f>
        <v>72723300</v>
      </c>
      <c r="D28" s="118">
        <f>SUM(D29:D32)</f>
        <v>7031097.46</v>
      </c>
      <c r="E28" s="118">
        <f t="shared" si="0"/>
        <v>9.668287137684896</v>
      </c>
      <c r="F28" s="118">
        <f>SUM(F29:F32)</f>
        <v>7031097.46</v>
      </c>
      <c r="G28" s="118">
        <f t="shared" si="1"/>
        <v>9.668287137684896</v>
      </c>
      <c r="H28" s="118">
        <f t="shared" si="2"/>
        <v>65692202.54</v>
      </c>
      <c r="I28" s="110"/>
      <c r="J28" s="110"/>
      <c r="K28" s="110"/>
      <c r="L28" s="110"/>
    </row>
    <row r="29" spans="1:12" ht="12.75">
      <c r="A29" s="120" t="s">
        <v>11</v>
      </c>
      <c r="B29" s="116">
        <v>46855300</v>
      </c>
      <c r="C29" s="116">
        <v>46855300</v>
      </c>
      <c r="D29" s="118">
        <v>3905576.98</v>
      </c>
      <c r="E29" s="118">
        <f t="shared" si="0"/>
        <v>8.335400648379158</v>
      </c>
      <c r="F29" s="118">
        <v>3905576.98</v>
      </c>
      <c r="G29" s="118">
        <f t="shared" si="1"/>
        <v>8.335400648379158</v>
      </c>
      <c r="H29" s="118">
        <f t="shared" si="2"/>
        <v>42949723.02</v>
      </c>
      <c r="I29" s="110"/>
      <c r="J29" s="110"/>
      <c r="K29" s="110"/>
      <c r="L29" s="110"/>
    </row>
    <row r="30" spans="1:12" ht="12.75">
      <c r="A30" s="120" t="s">
        <v>679</v>
      </c>
      <c r="B30" s="116"/>
      <c r="C30" s="116"/>
      <c r="D30" s="118"/>
      <c r="E30" s="118">
        <f t="shared" si="0"/>
        <v>0</v>
      </c>
      <c r="F30" s="118"/>
      <c r="G30" s="118">
        <f t="shared" si="1"/>
        <v>0</v>
      </c>
      <c r="H30" s="118">
        <f t="shared" si="2"/>
        <v>0</v>
      </c>
      <c r="I30" s="110"/>
      <c r="J30" s="110"/>
      <c r="K30" s="110"/>
      <c r="L30" s="110"/>
    </row>
    <row r="31" spans="1:12" ht="25.5">
      <c r="A31" s="115" t="s">
        <v>702</v>
      </c>
      <c r="B31" s="116"/>
      <c r="C31" s="116"/>
      <c r="D31" s="118"/>
      <c r="E31" s="118">
        <f t="shared" si="0"/>
        <v>0</v>
      </c>
      <c r="F31" s="118"/>
      <c r="G31" s="118">
        <f t="shared" si="1"/>
        <v>0</v>
      </c>
      <c r="H31" s="118">
        <f t="shared" si="2"/>
        <v>0</v>
      </c>
      <c r="I31" s="110"/>
      <c r="J31" s="110"/>
      <c r="K31" s="110"/>
      <c r="L31" s="110"/>
    </row>
    <row r="32" spans="1:12" ht="25.5">
      <c r="A32" s="115" t="s">
        <v>703</v>
      </c>
      <c r="B32" s="116">
        <v>25868000</v>
      </c>
      <c r="C32" s="116">
        <v>25868000</v>
      </c>
      <c r="D32" s="118">
        <v>3125520.48</v>
      </c>
      <c r="E32" s="118">
        <f t="shared" si="0"/>
        <v>12.082574918818617</v>
      </c>
      <c r="F32" s="118">
        <v>3125520.48</v>
      </c>
      <c r="G32" s="118">
        <f t="shared" si="1"/>
        <v>12.082574918818617</v>
      </c>
      <c r="H32" s="118">
        <f t="shared" si="2"/>
        <v>22742479.52</v>
      </c>
      <c r="I32" s="110"/>
      <c r="J32" s="110"/>
      <c r="K32" s="110"/>
      <c r="L32" s="110"/>
    </row>
    <row r="33" spans="1:12" ht="12.75">
      <c r="A33" s="120" t="s">
        <v>12</v>
      </c>
      <c r="B33" s="116">
        <f>SUM(B34:B40)</f>
        <v>19363000</v>
      </c>
      <c r="C33" s="116">
        <f>SUM(C34:C40)</f>
        <v>19363000.31</v>
      </c>
      <c r="D33" s="118">
        <f>SUM(D34:D40)</f>
        <v>4124272.79</v>
      </c>
      <c r="E33" s="118">
        <f t="shared" si="0"/>
        <v>21.29976100795714</v>
      </c>
      <c r="F33" s="118">
        <f>SUM(F34:F40)</f>
        <v>4124272.79</v>
      </c>
      <c r="G33" s="118">
        <f t="shared" si="1"/>
        <v>21.29976100795714</v>
      </c>
      <c r="H33" s="118">
        <f t="shared" si="2"/>
        <v>15238727.52</v>
      </c>
      <c r="I33" s="110"/>
      <c r="J33" s="110"/>
      <c r="K33" s="110"/>
      <c r="L33" s="110"/>
    </row>
    <row r="34" spans="1:12" ht="12.75">
      <c r="A34" s="120" t="s">
        <v>680</v>
      </c>
      <c r="B34" s="116">
        <v>537000</v>
      </c>
      <c r="C34" s="116">
        <v>537000</v>
      </c>
      <c r="D34" s="118">
        <v>61573.75</v>
      </c>
      <c r="E34" s="118">
        <f t="shared" si="0"/>
        <v>11.466247672253258</v>
      </c>
      <c r="F34" s="118">
        <v>61573.75</v>
      </c>
      <c r="G34" s="118">
        <f t="shared" si="1"/>
        <v>11.466247672253258</v>
      </c>
      <c r="H34" s="118">
        <f t="shared" si="2"/>
        <v>475426.25</v>
      </c>
      <c r="I34" s="110"/>
      <c r="J34" s="110"/>
      <c r="K34" s="110"/>
      <c r="L34" s="110"/>
    </row>
    <row r="35" spans="1:12" ht="12.75">
      <c r="A35" s="120" t="s">
        <v>681</v>
      </c>
      <c r="B35" s="116">
        <v>18218000</v>
      </c>
      <c r="C35" s="116">
        <v>18218000.31</v>
      </c>
      <c r="D35" s="118">
        <v>3899048.53</v>
      </c>
      <c r="E35" s="118">
        <f t="shared" si="0"/>
        <v>21.40217621941626</v>
      </c>
      <c r="F35" s="118">
        <v>3899048.53</v>
      </c>
      <c r="G35" s="118">
        <f t="shared" si="1"/>
        <v>21.40217621941626</v>
      </c>
      <c r="H35" s="118">
        <f t="shared" si="2"/>
        <v>14318951.78</v>
      </c>
      <c r="I35" s="110"/>
      <c r="J35" s="110"/>
      <c r="K35" s="110"/>
      <c r="L35" s="110"/>
    </row>
    <row r="36" spans="1:12" ht="25.5">
      <c r="A36" s="115" t="s">
        <v>704</v>
      </c>
      <c r="B36" s="116">
        <v>500000</v>
      </c>
      <c r="C36" s="116">
        <v>500000</v>
      </c>
      <c r="D36" s="118">
        <v>142518.66</v>
      </c>
      <c r="E36" s="118">
        <f t="shared" si="0"/>
        <v>28.503732</v>
      </c>
      <c r="F36" s="118">
        <v>142518.66</v>
      </c>
      <c r="G36" s="118">
        <f t="shared" si="1"/>
        <v>28.503732</v>
      </c>
      <c r="H36" s="118">
        <f t="shared" si="2"/>
        <v>357481.33999999997</v>
      </c>
      <c r="I36" s="110"/>
      <c r="J36" s="110"/>
      <c r="K36" s="110"/>
      <c r="L36" s="110"/>
    </row>
    <row r="37" spans="1:12" ht="12.75">
      <c r="A37" s="120" t="s">
        <v>682</v>
      </c>
      <c r="B37" s="116"/>
      <c r="C37" s="116"/>
      <c r="D37" s="118"/>
      <c r="E37" s="118">
        <f t="shared" si="0"/>
        <v>0</v>
      </c>
      <c r="F37" s="118"/>
      <c r="G37" s="118">
        <f t="shared" si="1"/>
        <v>0</v>
      </c>
      <c r="H37" s="118">
        <f t="shared" si="2"/>
        <v>0</v>
      </c>
      <c r="I37" s="110"/>
      <c r="J37" s="110"/>
      <c r="K37" s="110"/>
      <c r="L37" s="110"/>
    </row>
    <row r="38" spans="1:12" ht="12.75">
      <c r="A38" s="120" t="s">
        <v>683</v>
      </c>
      <c r="B38" s="116"/>
      <c r="C38" s="116"/>
      <c r="D38" s="118"/>
      <c r="E38" s="118">
        <f t="shared" si="0"/>
        <v>0</v>
      </c>
      <c r="F38" s="118"/>
      <c r="G38" s="118">
        <f t="shared" si="1"/>
        <v>0</v>
      </c>
      <c r="H38" s="118">
        <f t="shared" si="2"/>
        <v>0</v>
      </c>
      <c r="I38" s="110"/>
      <c r="J38" s="110"/>
      <c r="K38" s="110"/>
      <c r="L38" s="110"/>
    </row>
    <row r="39" spans="1:12" ht="12.75">
      <c r="A39" s="115" t="s">
        <v>684</v>
      </c>
      <c r="B39" s="116">
        <v>108000</v>
      </c>
      <c r="C39" s="116">
        <v>108000</v>
      </c>
      <c r="D39" s="118">
        <v>21131.85</v>
      </c>
      <c r="E39" s="118">
        <f t="shared" si="0"/>
        <v>19.566527777777775</v>
      </c>
      <c r="F39" s="118">
        <v>21131.85</v>
      </c>
      <c r="G39" s="118">
        <f t="shared" si="1"/>
        <v>19.566527777777775</v>
      </c>
      <c r="H39" s="118">
        <f t="shared" si="2"/>
        <v>86868.15</v>
      </c>
      <c r="I39" s="110"/>
      <c r="J39" s="110"/>
      <c r="K39" s="110"/>
      <c r="L39" s="110"/>
    </row>
    <row r="40" spans="1:12" ht="12.75">
      <c r="A40" s="120" t="s">
        <v>685</v>
      </c>
      <c r="B40" s="116"/>
      <c r="C40" s="116"/>
      <c r="D40" s="118"/>
      <c r="E40" s="118">
        <f t="shared" si="0"/>
        <v>0</v>
      </c>
      <c r="F40" s="118"/>
      <c r="G40" s="118">
        <f t="shared" si="1"/>
        <v>0</v>
      </c>
      <c r="H40" s="118">
        <f t="shared" si="2"/>
        <v>0</v>
      </c>
      <c r="I40" s="110"/>
      <c r="J40" s="110"/>
      <c r="K40" s="110"/>
      <c r="L40" s="110"/>
    </row>
    <row r="41" spans="1:12" ht="12.75">
      <c r="A41" s="120" t="s">
        <v>16</v>
      </c>
      <c r="B41" s="116"/>
      <c r="C41" s="116"/>
      <c r="D41" s="118"/>
      <c r="E41" s="118">
        <f t="shared" si="0"/>
        <v>0</v>
      </c>
      <c r="F41" s="118"/>
      <c r="G41" s="118">
        <f t="shared" si="1"/>
        <v>0</v>
      </c>
      <c r="H41" s="118">
        <f t="shared" si="2"/>
        <v>0</v>
      </c>
      <c r="I41" s="110"/>
      <c r="J41" s="110"/>
      <c r="K41" s="110"/>
      <c r="L41" s="110"/>
    </row>
    <row r="42" spans="1:12" ht="12.75">
      <c r="A42" s="120" t="s">
        <v>17</v>
      </c>
      <c r="B42" s="116"/>
      <c r="C42" s="116"/>
      <c r="D42" s="118"/>
      <c r="E42" s="118">
        <f t="shared" si="0"/>
        <v>0</v>
      </c>
      <c r="F42" s="118"/>
      <c r="G42" s="118">
        <f t="shared" si="1"/>
        <v>0</v>
      </c>
      <c r="H42" s="118">
        <f t="shared" si="2"/>
        <v>0</v>
      </c>
      <c r="I42" s="110"/>
      <c r="J42" s="110"/>
      <c r="K42" s="110"/>
      <c r="L42" s="110"/>
    </row>
    <row r="43" spans="1:12" ht="12.75">
      <c r="A43" s="120" t="s">
        <v>18</v>
      </c>
      <c r="B43" s="116">
        <f>SUM(B44:B48)</f>
        <v>126233000</v>
      </c>
      <c r="C43" s="116">
        <f>SUM(C44:C48)</f>
        <v>126233000</v>
      </c>
      <c r="D43" s="118">
        <f>SUM(D44:D48)</f>
        <v>21714000.04</v>
      </c>
      <c r="E43" s="118">
        <f t="shared" si="0"/>
        <v>17.201524197317656</v>
      </c>
      <c r="F43" s="118">
        <f>SUM(F44:F48)</f>
        <v>21714000.04</v>
      </c>
      <c r="G43" s="118">
        <f t="shared" si="1"/>
        <v>17.201524197317656</v>
      </c>
      <c r="H43" s="118">
        <f t="shared" si="2"/>
        <v>104518999.96000001</v>
      </c>
      <c r="I43" s="110"/>
      <c r="J43" s="110"/>
      <c r="K43" s="110"/>
      <c r="L43" s="110"/>
    </row>
    <row r="44" spans="1:12" ht="12.75">
      <c r="A44" s="115" t="s">
        <v>686</v>
      </c>
      <c r="B44" s="116">
        <v>124394100</v>
      </c>
      <c r="C44" s="116">
        <v>124394100</v>
      </c>
      <c r="D44" s="118">
        <v>21317365.39</v>
      </c>
      <c r="E44" s="118">
        <f t="shared" si="0"/>
        <v>17.136958577617428</v>
      </c>
      <c r="F44" s="118">
        <v>21317365.39</v>
      </c>
      <c r="G44" s="118">
        <f t="shared" si="1"/>
        <v>17.136958577617428</v>
      </c>
      <c r="H44" s="118">
        <f t="shared" si="2"/>
        <v>103076734.61</v>
      </c>
      <c r="I44" s="110"/>
      <c r="J44" s="110"/>
      <c r="K44" s="110"/>
      <c r="L44" s="110"/>
    </row>
    <row r="45" spans="1:12" ht="25.5">
      <c r="A45" s="115" t="s">
        <v>705</v>
      </c>
      <c r="B45" s="116">
        <v>302900</v>
      </c>
      <c r="C45" s="116">
        <v>302900</v>
      </c>
      <c r="D45" s="118">
        <v>49428.57</v>
      </c>
      <c r="E45" s="118">
        <f t="shared" si="0"/>
        <v>16.318445031363485</v>
      </c>
      <c r="F45" s="118">
        <v>49428.57</v>
      </c>
      <c r="G45" s="118">
        <f t="shared" si="1"/>
        <v>16.318445031363485</v>
      </c>
      <c r="H45" s="118">
        <f t="shared" si="2"/>
        <v>253471.43</v>
      </c>
      <c r="I45" s="110"/>
      <c r="J45" s="110"/>
      <c r="K45" s="110"/>
      <c r="L45" s="110"/>
    </row>
    <row r="46" spans="1:12" ht="12.75">
      <c r="A46" s="120" t="s">
        <v>687</v>
      </c>
      <c r="B46" s="116"/>
      <c r="C46" s="116"/>
      <c r="D46" s="118"/>
      <c r="E46" s="118">
        <f t="shared" si="0"/>
        <v>0</v>
      </c>
      <c r="F46" s="118"/>
      <c r="G46" s="118">
        <f t="shared" si="1"/>
        <v>0</v>
      </c>
      <c r="H46" s="118">
        <f t="shared" si="2"/>
        <v>0</v>
      </c>
      <c r="I46" s="110"/>
      <c r="J46" s="110"/>
      <c r="K46" s="110"/>
      <c r="L46" s="110"/>
    </row>
    <row r="47" spans="1:12" ht="12.75">
      <c r="A47" s="115" t="s">
        <v>688</v>
      </c>
      <c r="B47" s="116"/>
      <c r="C47" s="116"/>
      <c r="D47" s="118"/>
      <c r="E47" s="118">
        <f t="shared" si="0"/>
        <v>0</v>
      </c>
      <c r="F47" s="118"/>
      <c r="G47" s="118">
        <f t="shared" si="1"/>
        <v>0</v>
      </c>
      <c r="H47" s="118">
        <f t="shared" si="2"/>
        <v>0</v>
      </c>
      <c r="I47" s="110"/>
      <c r="J47" s="110"/>
      <c r="K47" s="110"/>
      <c r="L47" s="110"/>
    </row>
    <row r="48" spans="1:12" ht="12.75">
      <c r="A48" s="120" t="s">
        <v>689</v>
      </c>
      <c r="B48" s="116">
        <v>1536000</v>
      </c>
      <c r="C48" s="116">
        <v>1536000</v>
      </c>
      <c r="D48" s="118">
        <v>347206.08</v>
      </c>
      <c r="E48" s="118">
        <f t="shared" si="0"/>
        <v>22.6045625</v>
      </c>
      <c r="F48" s="118">
        <v>347206.08</v>
      </c>
      <c r="G48" s="118">
        <f t="shared" si="1"/>
        <v>22.6045625</v>
      </c>
      <c r="H48" s="118">
        <f t="shared" si="2"/>
        <v>1188793.92</v>
      </c>
      <c r="I48" s="110"/>
      <c r="J48" s="110"/>
      <c r="K48" s="110"/>
      <c r="L48" s="110"/>
    </row>
    <row r="49" spans="1:12" ht="12.75">
      <c r="A49" s="120" t="s">
        <v>19</v>
      </c>
      <c r="B49" s="116">
        <f>SUM(B50:B57)</f>
        <v>540247000</v>
      </c>
      <c r="C49" s="116">
        <f>SUM(C50:C57)</f>
        <v>540247000</v>
      </c>
      <c r="D49" s="118">
        <f>SUM(D50:D57)</f>
        <v>122967221.19</v>
      </c>
      <c r="E49" s="118">
        <f t="shared" si="0"/>
        <v>22.76129644218293</v>
      </c>
      <c r="F49" s="118">
        <f>SUM(F50:F57)</f>
        <v>122967221.19</v>
      </c>
      <c r="G49" s="118">
        <f t="shared" si="1"/>
        <v>22.76129644218293</v>
      </c>
      <c r="H49" s="118">
        <f t="shared" si="2"/>
        <v>417279778.81</v>
      </c>
      <c r="I49" s="110"/>
      <c r="J49" s="110"/>
      <c r="K49" s="110"/>
      <c r="L49" s="110"/>
    </row>
    <row r="50" spans="1:12" ht="12.75">
      <c r="A50" s="120" t="s">
        <v>690</v>
      </c>
      <c r="B50" s="116">
        <v>144094750</v>
      </c>
      <c r="C50" s="116">
        <v>144094750</v>
      </c>
      <c r="D50" s="118">
        <v>29555179.84</v>
      </c>
      <c r="E50" s="118">
        <f t="shared" si="0"/>
        <v>20.510934534394902</v>
      </c>
      <c r="F50" s="118">
        <v>29555179.84</v>
      </c>
      <c r="G50" s="118">
        <f t="shared" si="1"/>
        <v>20.510934534394902</v>
      </c>
      <c r="H50" s="118">
        <f t="shared" si="2"/>
        <v>114539570.16</v>
      </c>
      <c r="I50" s="110"/>
      <c r="J50" s="110"/>
      <c r="K50" s="110"/>
      <c r="L50" s="110"/>
    </row>
    <row r="51" spans="1:12" ht="25.5">
      <c r="A51" s="115" t="s">
        <v>706</v>
      </c>
      <c r="B51" s="116">
        <v>277094700</v>
      </c>
      <c r="C51" s="116">
        <v>277094700</v>
      </c>
      <c r="D51" s="118">
        <v>68082089.02</v>
      </c>
      <c r="E51" s="118">
        <f t="shared" si="0"/>
        <v>24.569971572895476</v>
      </c>
      <c r="F51" s="118">
        <v>68082089.02</v>
      </c>
      <c r="G51" s="118">
        <f t="shared" si="1"/>
        <v>24.569971572895476</v>
      </c>
      <c r="H51" s="118">
        <f t="shared" si="2"/>
        <v>209012610.98000002</v>
      </c>
      <c r="I51" s="110"/>
      <c r="J51" s="110"/>
      <c r="K51" s="110"/>
      <c r="L51" s="110"/>
    </row>
    <row r="52" spans="1:12" ht="12.75">
      <c r="A52" s="120" t="s">
        <v>691</v>
      </c>
      <c r="B52" s="116"/>
      <c r="C52" s="116"/>
      <c r="D52" s="118"/>
      <c r="E52" s="118">
        <f t="shared" si="0"/>
        <v>0</v>
      </c>
      <c r="F52" s="118"/>
      <c r="G52" s="118">
        <f t="shared" si="1"/>
        <v>0</v>
      </c>
      <c r="H52" s="118">
        <f t="shared" si="2"/>
        <v>0</v>
      </c>
      <c r="I52" s="110"/>
      <c r="J52" s="110"/>
      <c r="K52" s="110"/>
      <c r="L52" s="110"/>
    </row>
    <row r="53" spans="1:12" ht="12.75">
      <c r="A53" s="120" t="s">
        <v>20</v>
      </c>
      <c r="B53" s="116">
        <v>855250</v>
      </c>
      <c r="C53" s="116">
        <v>855250</v>
      </c>
      <c r="D53" s="118">
        <v>208728.66</v>
      </c>
      <c r="E53" s="118">
        <f t="shared" si="0"/>
        <v>24.40557263957907</v>
      </c>
      <c r="F53" s="118">
        <v>208728.66</v>
      </c>
      <c r="G53" s="118">
        <f t="shared" si="1"/>
        <v>24.40557263957907</v>
      </c>
      <c r="H53" s="118">
        <f t="shared" si="2"/>
        <v>646521.34</v>
      </c>
      <c r="I53" s="110"/>
      <c r="J53" s="110"/>
      <c r="K53" s="110"/>
      <c r="L53" s="110"/>
    </row>
    <row r="54" spans="1:12" ht="12.75">
      <c r="A54" s="120" t="s">
        <v>30</v>
      </c>
      <c r="B54" s="116">
        <v>117800000</v>
      </c>
      <c r="C54" s="116">
        <v>117800000</v>
      </c>
      <c r="D54" s="118">
        <v>25113821.73</v>
      </c>
      <c r="E54" s="118">
        <f aca="true" t="shared" si="3" ref="E54:E85">IF(C54&gt;0,D54/C54,0)*100</f>
        <v>21.31903372665535</v>
      </c>
      <c r="F54" s="118">
        <v>25113821.73</v>
      </c>
      <c r="G54" s="118">
        <f aca="true" t="shared" si="4" ref="G54:G85">IF(C54&gt;0,F54/C54,0)*100</f>
        <v>21.31903372665535</v>
      </c>
      <c r="H54" s="118">
        <f aca="true" t="shared" si="5" ref="H54:H85">C54-F54</f>
        <v>92686178.27</v>
      </c>
      <c r="I54" s="110"/>
      <c r="J54" s="110"/>
      <c r="K54" s="110"/>
      <c r="L54" s="110"/>
    </row>
    <row r="55" spans="1:12" ht="12.75">
      <c r="A55" s="120" t="s">
        <v>21</v>
      </c>
      <c r="B55" s="116"/>
      <c r="C55" s="116"/>
      <c r="D55" s="118"/>
      <c r="E55" s="118">
        <f t="shared" si="3"/>
        <v>0</v>
      </c>
      <c r="F55" s="118"/>
      <c r="G55" s="118">
        <f t="shared" si="4"/>
        <v>0</v>
      </c>
      <c r="H55" s="118">
        <f t="shared" si="5"/>
        <v>0</v>
      </c>
      <c r="I55" s="110"/>
      <c r="J55" s="110"/>
      <c r="K55" s="110"/>
      <c r="L55" s="110"/>
    </row>
    <row r="56" spans="1:12" ht="12.75">
      <c r="A56" s="121" t="s">
        <v>692</v>
      </c>
      <c r="B56" s="116">
        <v>402300</v>
      </c>
      <c r="C56" s="116">
        <v>402300</v>
      </c>
      <c r="D56" s="118">
        <v>7401.94</v>
      </c>
      <c r="E56" s="118">
        <f t="shared" si="3"/>
        <v>1.8399055431270195</v>
      </c>
      <c r="F56" s="118">
        <v>7401.94</v>
      </c>
      <c r="G56" s="118">
        <f t="shared" si="4"/>
        <v>1.8399055431270195</v>
      </c>
      <c r="H56" s="118">
        <f t="shared" si="5"/>
        <v>394898.06</v>
      </c>
      <c r="I56" s="110"/>
      <c r="J56" s="110"/>
      <c r="K56" s="110"/>
      <c r="L56" s="110"/>
    </row>
    <row r="57" spans="1:12" ht="25.5">
      <c r="A57" s="122" t="s">
        <v>707</v>
      </c>
      <c r="B57" s="116"/>
      <c r="C57" s="116"/>
      <c r="D57" s="118"/>
      <c r="E57" s="118">
        <f t="shared" si="3"/>
        <v>0</v>
      </c>
      <c r="F57" s="118"/>
      <c r="G57" s="118">
        <f t="shared" si="4"/>
        <v>0</v>
      </c>
      <c r="H57" s="118">
        <f t="shared" si="5"/>
        <v>0</v>
      </c>
      <c r="I57" s="110"/>
      <c r="J57" s="110"/>
      <c r="K57" s="110"/>
      <c r="L57" s="110"/>
    </row>
    <row r="58" spans="1:12" ht="12.75">
      <c r="A58" s="120" t="s">
        <v>22</v>
      </c>
      <c r="B58" s="116">
        <f>SUM(B59:B62)</f>
        <v>11387200</v>
      </c>
      <c r="C58" s="116">
        <f>SUM(C59:C62)</f>
        <v>11387200</v>
      </c>
      <c r="D58" s="118">
        <f>SUM(D59:D62)</f>
        <v>4258582.85</v>
      </c>
      <c r="E58" s="118">
        <f t="shared" si="3"/>
        <v>37.39798062737108</v>
      </c>
      <c r="F58" s="118">
        <f>SUM(F59:F62)</f>
        <v>4258582.85</v>
      </c>
      <c r="G58" s="118">
        <f t="shared" si="4"/>
        <v>37.39798062737108</v>
      </c>
      <c r="H58" s="118">
        <f t="shared" si="5"/>
        <v>7128617.15</v>
      </c>
      <c r="I58" s="110"/>
      <c r="J58" s="110"/>
      <c r="K58" s="110"/>
      <c r="L58" s="110"/>
    </row>
    <row r="59" spans="1:12" ht="12.75">
      <c r="A59" s="120" t="s">
        <v>693</v>
      </c>
      <c r="B59" s="116">
        <v>5247890</v>
      </c>
      <c r="C59" s="116">
        <v>5247890</v>
      </c>
      <c r="D59" s="118">
        <v>1647153.54</v>
      </c>
      <c r="E59" s="118">
        <f t="shared" si="3"/>
        <v>31.38696771464341</v>
      </c>
      <c r="F59" s="118">
        <v>1647153.54</v>
      </c>
      <c r="G59" s="118">
        <f t="shared" si="4"/>
        <v>31.38696771464341</v>
      </c>
      <c r="H59" s="118">
        <f t="shared" si="5"/>
        <v>3600736.46</v>
      </c>
      <c r="I59" s="110"/>
      <c r="J59" s="110"/>
      <c r="K59" s="110"/>
      <c r="L59" s="110"/>
    </row>
    <row r="60" spans="1:12" ht="12.75">
      <c r="A60" s="120" t="s">
        <v>694</v>
      </c>
      <c r="B60" s="116">
        <v>908100</v>
      </c>
      <c r="C60" s="116">
        <v>908100</v>
      </c>
      <c r="D60" s="118">
        <v>1675900.02</v>
      </c>
      <c r="E60" s="118">
        <f t="shared" si="3"/>
        <v>184.55016187644532</v>
      </c>
      <c r="F60" s="118">
        <v>1675900.02</v>
      </c>
      <c r="G60" s="118">
        <f t="shared" si="4"/>
        <v>184.55016187644532</v>
      </c>
      <c r="H60" s="118">
        <f t="shared" si="5"/>
        <v>-767800.02</v>
      </c>
      <c r="I60" s="110"/>
      <c r="J60" s="110"/>
      <c r="K60" s="110"/>
      <c r="L60" s="110"/>
    </row>
    <row r="61" spans="1:12" ht="25.5">
      <c r="A61" s="115" t="s">
        <v>719</v>
      </c>
      <c r="B61" s="116"/>
      <c r="C61" s="116"/>
      <c r="D61" s="118"/>
      <c r="E61" s="118">
        <f t="shared" si="3"/>
        <v>0</v>
      </c>
      <c r="F61" s="118"/>
      <c r="G61" s="118">
        <f t="shared" si="4"/>
        <v>0</v>
      </c>
      <c r="H61" s="118">
        <f t="shared" si="5"/>
        <v>0</v>
      </c>
      <c r="I61" s="110"/>
      <c r="J61" s="110"/>
      <c r="K61" s="110"/>
      <c r="L61" s="110"/>
    </row>
    <row r="62" spans="1:12" ht="12.75">
      <c r="A62" s="123" t="s">
        <v>93</v>
      </c>
      <c r="B62" s="116">
        <v>5231210</v>
      </c>
      <c r="C62" s="116">
        <v>5231210</v>
      </c>
      <c r="D62" s="118">
        <v>935529.29</v>
      </c>
      <c r="E62" s="118">
        <f t="shared" si="3"/>
        <v>17.88361182212146</v>
      </c>
      <c r="F62" s="118">
        <v>935529.29</v>
      </c>
      <c r="G62" s="118">
        <f t="shared" si="4"/>
        <v>17.88361182212146</v>
      </c>
      <c r="H62" s="118">
        <f t="shared" si="5"/>
        <v>4295680.71</v>
      </c>
      <c r="I62" s="110"/>
      <c r="J62" s="110"/>
      <c r="K62" s="110"/>
      <c r="L62" s="110"/>
    </row>
    <row r="63" spans="1:12" ht="12.75">
      <c r="A63" s="120" t="s">
        <v>23</v>
      </c>
      <c r="B63" s="116">
        <f>B64+B67+B72+B81</f>
        <v>2091000</v>
      </c>
      <c r="C63" s="116">
        <f>C64+C67+C72+C81</f>
        <v>2091000</v>
      </c>
      <c r="D63" s="118">
        <f>D64+D67+D72+D81</f>
        <v>1258676.58</v>
      </c>
      <c r="E63" s="118">
        <f t="shared" si="3"/>
        <v>60.19495839311335</v>
      </c>
      <c r="F63" s="118">
        <f>F64+F67+F72+F81</f>
        <v>1258676.58</v>
      </c>
      <c r="G63" s="118">
        <f t="shared" si="4"/>
        <v>60.19495839311335</v>
      </c>
      <c r="H63" s="118">
        <f t="shared" si="5"/>
        <v>832323.4199999999</v>
      </c>
      <c r="I63" s="110"/>
      <c r="J63" s="110"/>
      <c r="K63" s="110"/>
      <c r="L63" s="110"/>
    </row>
    <row r="64" spans="1:12" ht="12.75">
      <c r="A64" s="120" t="s">
        <v>24</v>
      </c>
      <c r="B64" s="116">
        <f>SUM(B65:B66)</f>
        <v>0</v>
      </c>
      <c r="C64" s="116">
        <f>SUM(C65:C66)</f>
        <v>0</v>
      </c>
      <c r="D64" s="118">
        <f>SUM(D65:D66)</f>
        <v>0</v>
      </c>
      <c r="E64" s="118">
        <f t="shared" si="3"/>
        <v>0</v>
      </c>
      <c r="F64" s="118">
        <f>SUM(F65:F66)</f>
        <v>0</v>
      </c>
      <c r="G64" s="118">
        <f t="shared" si="4"/>
        <v>0</v>
      </c>
      <c r="H64" s="118">
        <f t="shared" si="5"/>
        <v>0</v>
      </c>
      <c r="I64" s="110"/>
      <c r="J64" s="110"/>
      <c r="K64" s="110"/>
      <c r="L64" s="110"/>
    </row>
    <row r="65" spans="1:12" ht="12.75">
      <c r="A65" s="120" t="s">
        <v>695</v>
      </c>
      <c r="B65" s="116"/>
      <c r="C65" s="116"/>
      <c r="D65" s="118"/>
      <c r="E65" s="118">
        <f t="shared" si="3"/>
        <v>0</v>
      </c>
      <c r="F65" s="118"/>
      <c r="G65" s="118">
        <f t="shared" si="4"/>
        <v>0</v>
      </c>
      <c r="H65" s="118">
        <f t="shared" si="5"/>
        <v>0</v>
      </c>
      <c r="I65" s="110"/>
      <c r="J65" s="110"/>
      <c r="K65" s="110"/>
      <c r="L65" s="110"/>
    </row>
    <row r="66" spans="1:12" ht="12.75">
      <c r="A66" s="120" t="s">
        <v>696</v>
      </c>
      <c r="B66" s="116"/>
      <c r="C66" s="116"/>
      <c r="D66" s="118"/>
      <c r="E66" s="118">
        <f t="shared" si="3"/>
        <v>0</v>
      </c>
      <c r="F66" s="118"/>
      <c r="G66" s="118">
        <f t="shared" si="4"/>
        <v>0</v>
      </c>
      <c r="H66" s="118">
        <f t="shared" si="5"/>
        <v>0</v>
      </c>
      <c r="I66" s="110"/>
      <c r="J66" s="110"/>
      <c r="K66" s="110"/>
      <c r="L66" s="110"/>
    </row>
    <row r="67" spans="1:12" ht="12.75">
      <c r="A67" s="120" t="s">
        <v>25</v>
      </c>
      <c r="B67" s="116">
        <f>SUM(B68:B71)</f>
        <v>2091000</v>
      </c>
      <c r="C67" s="116">
        <f>SUM(C68:C71)</f>
        <v>2091000</v>
      </c>
      <c r="D67" s="118">
        <f>SUM(D68:D71)</f>
        <v>1158676.58</v>
      </c>
      <c r="E67" s="118">
        <f t="shared" si="3"/>
        <v>55.412557627929225</v>
      </c>
      <c r="F67" s="118">
        <f>SUM(F68:F71)</f>
        <v>1158676.58</v>
      </c>
      <c r="G67" s="118">
        <f t="shared" si="4"/>
        <v>55.412557627929225</v>
      </c>
      <c r="H67" s="118">
        <f t="shared" si="5"/>
        <v>932323.4199999999</v>
      </c>
      <c r="I67" s="110"/>
      <c r="J67" s="110"/>
      <c r="K67" s="110"/>
      <c r="L67" s="110"/>
    </row>
    <row r="68" spans="1:12" ht="12.75">
      <c r="A68" s="120" t="s">
        <v>26</v>
      </c>
      <c r="B68" s="116">
        <v>0</v>
      </c>
      <c r="C68" s="116">
        <v>0</v>
      </c>
      <c r="D68" s="118">
        <v>891341.41</v>
      </c>
      <c r="E68" s="118">
        <f t="shared" si="3"/>
        <v>0</v>
      </c>
      <c r="F68" s="118">
        <v>891341.41</v>
      </c>
      <c r="G68" s="118">
        <f t="shared" si="4"/>
        <v>0</v>
      </c>
      <c r="H68" s="118">
        <f t="shared" si="5"/>
        <v>-891341.41</v>
      </c>
      <c r="I68" s="110"/>
      <c r="J68" s="110"/>
      <c r="K68" s="110"/>
      <c r="L68" s="110"/>
    </row>
    <row r="69" spans="1:12" ht="12.75">
      <c r="A69" s="120" t="s">
        <v>27</v>
      </c>
      <c r="B69" s="116">
        <v>2091000</v>
      </c>
      <c r="C69" s="116">
        <v>2091000</v>
      </c>
      <c r="D69" s="118">
        <v>267335.17</v>
      </c>
      <c r="E69" s="118">
        <f t="shared" si="3"/>
        <v>12.785039215686272</v>
      </c>
      <c r="F69" s="118">
        <v>267335.17</v>
      </c>
      <c r="G69" s="118">
        <f t="shared" si="4"/>
        <v>12.785039215686272</v>
      </c>
      <c r="H69" s="118">
        <f t="shared" si="5"/>
        <v>1823664.83</v>
      </c>
      <c r="I69" s="110"/>
      <c r="J69" s="110"/>
      <c r="K69" s="110"/>
      <c r="L69" s="110"/>
    </row>
    <row r="70" spans="1:12" ht="12.75">
      <c r="A70" s="124" t="s">
        <v>697</v>
      </c>
      <c r="B70" s="116"/>
      <c r="C70" s="116"/>
      <c r="D70" s="118"/>
      <c r="E70" s="118">
        <f t="shared" si="3"/>
        <v>0</v>
      </c>
      <c r="F70" s="118"/>
      <c r="G70" s="118">
        <f t="shared" si="4"/>
        <v>0</v>
      </c>
      <c r="H70" s="118">
        <f t="shared" si="5"/>
        <v>0</v>
      </c>
      <c r="I70" s="110"/>
      <c r="J70" s="110"/>
      <c r="K70" s="110"/>
      <c r="L70" s="110"/>
    </row>
    <row r="71" spans="1:12" ht="12.75">
      <c r="A71" s="120" t="s">
        <v>28</v>
      </c>
      <c r="B71" s="116"/>
      <c r="C71" s="116"/>
      <c r="D71" s="118"/>
      <c r="E71" s="118">
        <f t="shared" si="3"/>
        <v>0</v>
      </c>
      <c r="F71" s="118"/>
      <c r="G71" s="118">
        <f t="shared" si="4"/>
        <v>0</v>
      </c>
      <c r="H71" s="118">
        <f t="shared" si="5"/>
        <v>0</v>
      </c>
      <c r="I71" s="110"/>
      <c r="J71" s="110"/>
      <c r="K71" s="110"/>
      <c r="L71" s="110"/>
    </row>
    <row r="72" spans="1:12" ht="12.75">
      <c r="A72" s="120" t="s">
        <v>29</v>
      </c>
      <c r="B72" s="116">
        <f>SUM(B73:B80)</f>
        <v>0</v>
      </c>
      <c r="C72" s="116">
        <f>SUM(C73:C80)</f>
        <v>0</v>
      </c>
      <c r="D72" s="118">
        <f>SUM(D73:D80)</f>
        <v>100000</v>
      </c>
      <c r="E72" s="118">
        <f t="shared" si="3"/>
        <v>0</v>
      </c>
      <c r="F72" s="118">
        <f>SUM(F73:F80)</f>
        <v>100000</v>
      </c>
      <c r="G72" s="118">
        <f t="shared" si="4"/>
        <v>0</v>
      </c>
      <c r="H72" s="118">
        <f t="shared" si="5"/>
        <v>-100000</v>
      </c>
      <c r="I72" s="110"/>
      <c r="J72" s="110"/>
      <c r="K72" s="110"/>
      <c r="L72" s="110"/>
    </row>
    <row r="73" spans="1:12" ht="12.75">
      <c r="A73" s="120" t="s">
        <v>698</v>
      </c>
      <c r="B73" s="116"/>
      <c r="C73" s="116"/>
      <c r="D73" s="118"/>
      <c r="E73" s="118">
        <f t="shared" si="3"/>
        <v>0</v>
      </c>
      <c r="F73" s="118"/>
      <c r="G73" s="118">
        <f t="shared" si="4"/>
        <v>0</v>
      </c>
      <c r="H73" s="118">
        <f t="shared" si="5"/>
        <v>0</v>
      </c>
      <c r="I73" s="110"/>
      <c r="J73" s="110"/>
      <c r="K73" s="110"/>
      <c r="L73" s="110"/>
    </row>
    <row r="74" spans="1:12" ht="25.5">
      <c r="A74" s="115" t="s">
        <v>706</v>
      </c>
      <c r="B74" s="116"/>
      <c r="C74" s="116"/>
      <c r="D74" s="118"/>
      <c r="E74" s="118">
        <f t="shared" si="3"/>
        <v>0</v>
      </c>
      <c r="F74" s="118"/>
      <c r="G74" s="118">
        <f t="shared" si="4"/>
        <v>0</v>
      </c>
      <c r="H74" s="118">
        <f t="shared" si="5"/>
        <v>0</v>
      </c>
      <c r="I74" s="110"/>
      <c r="J74" s="110"/>
      <c r="K74" s="110"/>
      <c r="L74" s="110"/>
    </row>
    <row r="75" spans="1:12" ht="12.75">
      <c r="A75" s="120" t="s">
        <v>691</v>
      </c>
      <c r="B75" s="116">
        <v>0</v>
      </c>
      <c r="C75" s="116">
        <v>0</v>
      </c>
      <c r="D75" s="118">
        <v>100000</v>
      </c>
      <c r="E75" s="118">
        <f t="shared" si="3"/>
        <v>0</v>
      </c>
      <c r="F75" s="118">
        <v>100000</v>
      </c>
      <c r="G75" s="118">
        <f t="shared" si="4"/>
        <v>0</v>
      </c>
      <c r="H75" s="118">
        <f t="shared" si="5"/>
        <v>-100000</v>
      </c>
      <c r="I75" s="110"/>
      <c r="J75" s="110"/>
      <c r="K75" s="110"/>
      <c r="L75" s="110"/>
    </row>
    <row r="76" spans="1:12" ht="12.75">
      <c r="A76" s="120" t="s">
        <v>20</v>
      </c>
      <c r="B76" s="116"/>
      <c r="C76" s="116"/>
      <c r="D76" s="118"/>
      <c r="E76" s="118">
        <f t="shared" si="3"/>
        <v>0</v>
      </c>
      <c r="F76" s="118"/>
      <c r="G76" s="118">
        <f t="shared" si="4"/>
        <v>0</v>
      </c>
      <c r="H76" s="118">
        <f t="shared" si="5"/>
        <v>0</v>
      </c>
      <c r="I76" s="110"/>
      <c r="J76" s="110"/>
      <c r="K76" s="110"/>
      <c r="L76" s="110"/>
    </row>
    <row r="77" spans="1:12" ht="12.75">
      <c r="A77" s="120" t="s">
        <v>30</v>
      </c>
      <c r="B77" s="116"/>
      <c r="C77" s="116"/>
      <c r="D77" s="118"/>
      <c r="E77" s="118">
        <f t="shared" si="3"/>
        <v>0</v>
      </c>
      <c r="F77" s="118"/>
      <c r="G77" s="118">
        <f t="shared" si="4"/>
        <v>0</v>
      </c>
      <c r="H77" s="118">
        <f t="shared" si="5"/>
        <v>0</v>
      </c>
      <c r="I77" s="110"/>
      <c r="J77" s="110"/>
      <c r="K77" s="110"/>
      <c r="L77" s="110"/>
    </row>
    <row r="78" spans="1:12" ht="12.75">
      <c r="A78" s="120" t="s">
        <v>21</v>
      </c>
      <c r="B78" s="116"/>
      <c r="C78" s="116"/>
      <c r="D78" s="118"/>
      <c r="E78" s="118">
        <f t="shared" si="3"/>
        <v>0</v>
      </c>
      <c r="F78" s="118"/>
      <c r="G78" s="118">
        <f t="shared" si="4"/>
        <v>0</v>
      </c>
      <c r="H78" s="118">
        <f t="shared" si="5"/>
        <v>0</v>
      </c>
      <c r="I78" s="110"/>
      <c r="J78" s="110"/>
      <c r="K78" s="110"/>
      <c r="L78" s="110"/>
    </row>
    <row r="79" spans="1:12" ht="12.75">
      <c r="A79" s="120" t="s">
        <v>692</v>
      </c>
      <c r="B79" s="116"/>
      <c r="C79" s="116"/>
      <c r="D79" s="118"/>
      <c r="E79" s="118">
        <f t="shared" si="3"/>
        <v>0</v>
      </c>
      <c r="F79" s="118"/>
      <c r="G79" s="118">
        <f t="shared" si="4"/>
        <v>0</v>
      </c>
      <c r="H79" s="118">
        <f t="shared" si="5"/>
        <v>0</v>
      </c>
      <c r="I79" s="110"/>
      <c r="J79" s="110"/>
      <c r="K79" s="110"/>
      <c r="L79" s="110"/>
    </row>
    <row r="80" spans="1:12" ht="25.5">
      <c r="A80" s="125" t="s">
        <v>708</v>
      </c>
      <c r="B80" s="116"/>
      <c r="C80" s="116"/>
      <c r="D80" s="118"/>
      <c r="E80" s="118">
        <f t="shared" si="3"/>
        <v>0</v>
      </c>
      <c r="F80" s="118"/>
      <c r="G80" s="118">
        <f t="shared" si="4"/>
        <v>0</v>
      </c>
      <c r="H80" s="118">
        <f t="shared" si="5"/>
        <v>0</v>
      </c>
      <c r="I80" s="110"/>
      <c r="J80" s="110"/>
      <c r="K80" s="110"/>
      <c r="L80" s="110"/>
    </row>
    <row r="81" spans="1:12" ht="12.75">
      <c r="A81" s="120" t="s">
        <v>31</v>
      </c>
      <c r="B81" s="116">
        <f>SUM(B82:B85)</f>
        <v>0</v>
      </c>
      <c r="C81" s="116">
        <f>SUM(C82:C85)</f>
        <v>0</v>
      </c>
      <c r="D81" s="118">
        <f>SUM(D82:D85)</f>
        <v>0</v>
      </c>
      <c r="E81" s="118">
        <f t="shared" si="3"/>
        <v>0</v>
      </c>
      <c r="F81" s="118">
        <f>SUM(F82:F85)</f>
        <v>0</v>
      </c>
      <c r="G81" s="118">
        <f t="shared" si="4"/>
        <v>0</v>
      </c>
      <c r="H81" s="118">
        <f t="shared" si="5"/>
        <v>0</v>
      </c>
      <c r="I81" s="110"/>
      <c r="J81" s="110"/>
      <c r="K81" s="110"/>
      <c r="L81" s="110"/>
    </row>
    <row r="82" spans="1:12" ht="12.75">
      <c r="A82" s="120" t="s">
        <v>32</v>
      </c>
      <c r="B82" s="116"/>
      <c r="C82" s="116"/>
      <c r="D82" s="118"/>
      <c r="E82" s="118">
        <f t="shared" si="3"/>
        <v>0</v>
      </c>
      <c r="F82" s="118"/>
      <c r="G82" s="118">
        <f t="shared" si="4"/>
        <v>0</v>
      </c>
      <c r="H82" s="118">
        <f t="shared" si="5"/>
        <v>0</v>
      </c>
      <c r="I82" s="110"/>
      <c r="J82" s="110"/>
      <c r="K82" s="110"/>
      <c r="L82" s="110"/>
    </row>
    <row r="83" spans="1:12" ht="12.75">
      <c r="A83" s="115" t="s">
        <v>699</v>
      </c>
      <c r="B83" s="116"/>
      <c r="C83" s="116"/>
      <c r="D83" s="118"/>
      <c r="E83" s="118">
        <f t="shared" si="3"/>
        <v>0</v>
      </c>
      <c r="F83" s="118"/>
      <c r="G83" s="118">
        <f t="shared" si="4"/>
        <v>0</v>
      </c>
      <c r="H83" s="118">
        <f t="shared" si="5"/>
        <v>0</v>
      </c>
      <c r="I83" s="110"/>
      <c r="J83" s="110"/>
      <c r="K83" s="110"/>
      <c r="L83" s="110"/>
    </row>
    <row r="84" spans="1:12" ht="12.75">
      <c r="A84" s="115" t="s">
        <v>700</v>
      </c>
      <c r="B84" s="116"/>
      <c r="C84" s="116"/>
      <c r="D84" s="118"/>
      <c r="E84" s="118">
        <f t="shared" si="3"/>
        <v>0</v>
      </c>
      <c r="F84" s="118"/>
      <c r="G84" s="118">
        <f t="shared" si="4"/>
        <v>0</v>
      </c>
      <c r="H84" s="118">
        <f t="shared" si="5"/>
        <v>0</v>
      </c>
      <c r="I84" s="110"/>
      <c r="J84" s="110"/>
      <c r="K84" s="110"/>
      <c r="L84" s="110"/>
    </row>
    <row r="85" spans="1:12" ht="12.75">
      <c r="A85" s="125" t="s">
        <v>701</v>
      </c>
      <c r="B85" s="116"/>
      <c r="C85" s="116"/>
      <c r="D85" s="118"/>
      <c r="E85" s="118">
        <f t="shared" si="3"/>
        <v>0</v>
      </c>
      <c r="F85" s="118"/>
      <c r="G85" s="118">
        <f t="shared" si="4"/>
        <v>0</v>
      </c>
      <c r="H85" s="118">
        <f t="shared" si="5"/>
        <v>0</v>
      </c>
      <c r="I85" s="110"/>
      <c r="J85" s="110"/>
      <c r="K85" s="110"/>
      <c r="L85" s="110"/>
    </row>
    <row r="86" spans="1:12" ht="12.75">
      <c r="A86" s="126" t="s">
        <v>55</v>
      </c>
      <c r="B86" s="116">
        <f>B141</f>
        <v>107358500</v>
      </c>
      <c r="C86" s="116">
        <f>C141</f>
        <v>107358500</v>
      </c>
      <c r="D86" s="118">
        <f>D141</f>
        <v>8107735.399999999</v>
      </c>
      <c r="E86" s="118">
        <f aca="true" t="shared" si="6" ref="E86:E95">IF(C86&gt;0,D86/C86,0)*100</f>
        <v>7.552020007731105</v>
      </c>
      <c r="F86" s="118">
        <f>F141</f>
        <v>8107735.399999999</v>
      </c>
      <c r="G86" s="118">
        <f aca="true" t="shared" si="7" ref="G86:G95">IF(C86&gt;0,F86/C86,0)*100</f>
        <v>7.552020007731105</v>
      </c>
      <c r="H86" s="118">
        <f aca="true" t="shared" si="8" ref="H86:H95">C86-F86</f>
        <v>99250764.6</v>
      </c>
      <c r="I86" s="110"/>
      <c r="J86" s="110"/>
      <c r="K86" s="110"/>
      <c r="L86" s="110"/>
    </row>
    <row r="87" spans="1:12" ht="12.75">
      <c r="A87" s="127" t="s">
        <v>56</v>
      </c>
      <c r="B87" s="128">
        <f>B86+B22</f>
        <v>1200000000</v>
      </c>
      <c r="C87" s="128">
        <f>C86+C22</f>
        <v>1200000000.31</v>
      </c>
      <c r="D87" s="119">
        <f>D86+D22</f>
        <v>218196841.15</v>
      </c>
      <c r="E87" s="129">
        <f t="shared" si="6"/>
        <v>18.18307009113604</v>
      </c>
      <c r="F87" s="129">
        <f>F86+F22</f>
        <v>218196841.15</v>
      </c>
      <c r="G87" s="129">
        <f t="shared" si="7"/>
        <v>18.18307009113604</v>
      </c>
      <c r="H87" s="129">
        <f t="shared" si="8"/>
        <v>981803159.16</v>
      </c>
      <c r="I87" s="110"/>
      <c r="J87" s="110"/>
      <c r="K87" s="110"/>
      <c r="L87" s="110"/>
    </row>
    <row r="88" spans="1:12" ht="12.75">
      <c r="A88" s="130" t="s">
        <v>331</v>
      </c>
      <c r="B88" s="117">
        <f>B89+B92</f>
        <v>0</v>
      </c>
      <c r="C88" s="117">
        <f>C89+C92</f>
        <v>0</v>
      </c>
      <c r="D88" s="119">
        <f>D89+D92</f>
        <v>0</v>
      </c>
      <c r="E88" s="119">
        <f t="shared" si="6"/>
        <v>0</v>
      </c>
      <c r="F88" s="119">
        <f>F89+F92</f>
        <v>0</v>
      </c>
      <c r="G88" s="118">
        <f t="shared" si="7"/>
        <v>0</v>
      </c>
      <c r="H88" s="118">
        <f t="shared" si="8"/>
        <v>0</v>
      </c>
      <c r="I88" s="110"/>
      <c r="J88" s="112"/>
      <c r="K88" s="110"/>
      <c r="L88" s="110"/>
    </row>
    <row r="89" spans="1:12" ht="12.75">
      <c r="A89" s="131" t="s">
        <v>308</v>
      </c>
      <c r="B89" s="116">
        <f>SUM(B90:B91)</f>
        <v>0</v>
      </c>
      <c r="C89" s="116">
        <f>SUM(C90:C91)</f>
        <v>0</v>
      </c>
      <c r="D89" s="118">
        <f>SUM(D90:D91)</f>
        <v>0</v>
      </c>
      <c r="E89" s="118">
        <f t="shared" si="6"/>
        <v>0</v>
      </c>
      <c r="F89" s="118">
        <f>SUM(F90:F91)</f>
        <v>0</v>
      </c>
      <c r="G89" s="118">
        <f t="shared" si="7"/>
        <v>0</v>
      </c>
      <c r="H89" s="118">
        <f t="shared" si="8"/>
        <v>0</v>
      </c>
      <c r="I89" s="110"/>
      <c r="J89" s="112"/>
      <c r="K89" s="110"/>
      <c r="L89" s="110"/>
    </row>
    <row r="90" spans="1:12" ht="12.75">
      <c r="A90" s="131" t="s">
        <v>33</v>
      </c>
      <c r="B90" s="116"/>
      <c r="C90" s="116"/>
      <c r="D90" s="118"/>
      <c r="E90" s="118">
        <f t="shared" si="6"/>
        <v>0</v>
      </c>
      <c r="F90" s="118"/>
      <c r="G90" s="118">
        <f t="shared" si="7"/>
        <v>0</v>
      </c>
      <c r="H90" s="118">
        <f t="shared" si="8"/>
        <v>0</v>
      </c>
      <c r="I90" s="110"/>
      <c r="J90" s="112"/>
      <c r="K90" s="110"/>
      <c r="L90" s="110"/>
    </row>
    <row r="91" spans="1:12" ht="12.75">
      <c r="A91" s="106" t="s">
        <v>34</v>
      </c>
      <c r="B91" s="116"/>
      <c r="C91" s="116"/>
      <c r="D91" s="118"/>
      <c r="E91" s="118">
        <f t="shared" si="6"/>
        <v>0</v>
      </c>
      <c r="F91" s="118"/>
      <c r="G91" s="118">
        <f t="shared" si="7"/>
        <v>0</v>
      </c>
      <c r="H91" s="118">
        <f t="shared" si="8"/>
        <v>0</v>
      </c>
      <c r="I91" s="110"/>
      <c r="J91" s="112"/>
      <c r="K91" s="110"/>
      <c r="L91" s="110"/>
    </row>
    <row r="92" spans="1:12" ht="12.75">
      <c r="A92" s="131" t="s">
        <v>309</v>
      </c>
      <c r="B92" s="116">
        <f>SUM(B93:B94)</f>
        <v>0</v>
      </c>
      <c r="C92" s="116">
        <f>SUM(C93:C94)</f>
        <v>0</v>
      </c>
      <c r="D92" s="118">
        <f>SUM(D93:D94)</f>
        <v>0</v>
      </c>
      <c r="E92" s="118">
        <f t="shared" si="6"/>
        <v>0</v>
      </c>
      <c r="F92" s="118">
        <f>SUM(F93:F94)</f>
        <v>0</v>
      </c>
      <c r="G92" s="118">
        <f t="shared" si="7"/>
        <v>0</v>
      </c>
      <c r="H92" s="118">
        <f t="shared" si="8"/>
        <v>0</v>
      </c>
      <c r="I92" s="110"/>
      <c r="J92" s="112"/>
      <c r="K92" s="110"/>
      <c r="L92" s="110"/>
    </row>
    <row r="93" spans="1:12" ht="12.75">
      <c r="A93" s="131" t="s">
        <v>33</v>
      </c>
      <c r="B93" s="116"/>
      <c r="C93" s="116"/>
      <c r="D93" s="118"/>
      <c r="E93" s="118">
        <f t="shared" si="6"/>
        <v>0</v>
      </c>
      <c r="F93" s="118"/>
      <c r="G93" s="118">
        <f t="shared" si="7"/>
        <v>0</v>
      </c>
      <c r="H93" s="118">
        <f t="shared" si="8"/>
        <v>0</v>
      </c>
      <c r="I93" s="110"/>
      <c r="J93" s="112"/>
      <c r="K93" s="110"/>
      <c r="L93" s="110"/>
    </row>
    <row r="94" spans="1:12" ht="12.75">
      <c r="A94" s="106" t="s">
        <v>34</v>
      </c>
      <c r="B94" s="132"/>
      <c r="C94" s="132"/>
      <c r="D94" s="133"/>
      <c r="E94" s="133">
        <f t="shared" si="6"/>
        <v>0</v>
      </c>
      <c r="F94" s="133"/>
      <c r="G94" s="118">
        <f t="shared" si="7"/>
        <v>0</v>
      </c>
      <c r="H94" s="118">
        <f t="shared" si="8"/>
        <v>0</v>
      </c>
      <c r="I94" s="110"/>
      <c r="J94" s="112"/>
      <c r="K94" s="110"/>
      <c r="L94" s="110"/>
    </row>
    <row r="95" spans="1:12" ht="12.75">
      <c r="A95" s="127" t="s">
        <v>35</v>
      </c>
      <c r="B95" s="128">
        <f>B87+B88</f>
        <v>1200000000</v>
      </c>
      <c r="C95" s="116">
        <f>C87+C88</f>
        <v>1200000000.31</v>
      </c>
      <c r="D95" s="118">
        <f>D87+D88</f>
        <v>218196841.15</v>
      </c>
      <c r="E95" s="118">
        <f t="shared" si="6"/>
        <v>18.18307009113604</v>
      </c>
      <c r="F95" s="129">
        <f>F87+F88</f>
        <v>218196841.15</v>
      </c>
      <c r="G95" s="129">
        <f t="shared" si="7"/>
        <v>18.18307009113604</v>
      </c>
      <c r="H95" s="129">
        <f t="shared" si="8"/>
        <v>981803159.16</v>
      </c>
      <c r="I95" s="110"/>
      <c r="J95" s="114"/>
      <c r="K95" s="110"/>
      <c r="L95" s="110"/>
    </row>
    <row r="96" spans="1:12" ht="12.75">
      <c r="A96" s="134" t="s">
        <v>571</v>
      </c>
      <c r="B96" s="135"/>
      <c r="C96" s="135"/>
      <c r="D96" s="136"/>
      <c r="E96" s="136"/>
      <c r="F96" s="137">
        <f>IF(A13="Período: 6º Bimestre",IF(F95&lt;E128,E128-F95,0),IF(F95&lt;H128,H128-F95,0))</f>
        <v>0</v>
      </c>
      <c r="G96" s="136"/>
      <c r="H96" s="136"/>
      <c r="I96" s="110"/>
      <c r="J96" s="112"/>
      <c r="K96" s="110"/>
      <c r="L96" s="110"/>
    </row>
    <row r="97" spans="1:12" ht="12.75">
      <c r="A97" s="134" t="s">
        <v>572</v>
      </c>
      <c r="B97" s="140">
        <f>B96+B95</f>
        <v>1200000000</v>
      </c>
      <c r="C97" s="140">
        <f>C96+C95</f>
        <v>1200000000.31</v>
      </c>
      <c r="D97" s="543">
        <f>D96+D95</f>
        <v>218196841.15</v>
      </c>
      <c r="E97" s="543">
        <f>IF(C97&gt;0,D97/C97,0)*100</f>
        <v>18.18307009113604</v>
      </c>
      <c r="F97" s="543">
        <f>F96+F95</f>
        <v>218196841.15</v>
      </c>
      <c r="G97" s="543">
        <f>IF(C97&gt;0,F97/C97,0)*100</f>
        <v>18.18307009113604</v>
      </c>
      <c r="H97" s="543">
        <f>C97-F97</f>
        <v>981803159.16</v>
      </c>
      <c r="I97" s="110"/>
      <c r="J97" s="112"/>
      <c r="K97" s="110"/>
      <c r="L97" s="110"/>
    </row>
    <row r="98" spans="1:12" ht="12.75">
      <c r="A98" s="139" t="s">
        <v>641</v>
      </c>
      <c r="B98" s="140">
        <f>SUM(B99:B100)</f>
        <v>0</v>
      </c>
      <c r="C98" s="140">
        <f>SUM(C99:C100)</f>
        <v>48921084.99</v>
      </c>
      <c r="D98" s="136"/>
      <c r="E98" s="136"/>
      <c r="F98" s="140">
        <f>SUM(F99:F100)</f>
        <v>48921084.99</v>
      </c>
      <c r="G98" s="136"/>
      <c r="H98" s="136"/>
      <c r="I98" s="110"/>
      <c r="J98" s="112"/>
      <c r="K98" s="110"/>
      <c r="L98" s="110"/>
    </row>
    <row r="99" spans="1:12" ht="12.75">
      <c r="A99" s="141" t="s">
        <v>642</v>
      </c>
      <c r="B99" s="140"/>
      <c r="C99" s="140"/>
      <c r="D99" s="136"/>
      <c r="E99" s="136"/>
      <c r="F99" s="136"/>
      <c r="G99" s="136"/>
      <c r="H99" s="136"/>
      <c r="I99" s="110"/>
      <c r="J99" s="112"/>
      <c r="K99" s="110"/>
      <c r="L99" s="110"/>
    </row>
    <row r="100" spans="1:12" ht="12.75">
      <c r="A100" s="142" t="s">
        <v>857</v>
      </c>
      <c r="B100" s="143"/>
      <c r="C100" s="13">
        <v>48921084.99</v>
      </c>
      <c r="D100" s="144"/>
      <c r="E100" s="144"/>
      <c r="F100" s="13">
        <v>48921084.99</v>
      </c>
      <c r="G100" s="144"/>
      <c r="H100" s="144"/>
      <c r="I100" s="110"/>
      <c r="J100" s="112"/>
      <c r="K100" s="110"/>
      <c r="L100" s="110"/>
    </row>
    <row r="101" spans="1:12" ht="12.75">
      <c r="A101" s="73"/>
      <c r="B101" s="145"/>
      <c r="C101" s="145"/>
      <c r="D101" s="145"/>
      <c r="E101" s="145"/>
      <c r="F101" s="145"/>
      <c r="G101" s="145"/>
      <c r="H101" s="145"/>
      <c r="I101" s="110"/>
      <c r="J101" s="112"/>
      <c r="K101" s="110"/>
      <c r="L101" s="110"/>
    </row>
    <row r="102" spans="1:12" ht="12.75">
      <c r="A102" s="73"/>
      <c r="B102" s="145"/>
      <c r="C102" s="145"/>
      <c r="D102" s="145"/>
      <c r="E102" s="145"/>
      <c r="F102" s="145"/>
      <c r="G102" s="145"/>
      <c r="H102" s="145"/>
      <c r="I102" s="110"/>
      <c r="J102" s="112"/>
      <c r="K102" s="110"/>
      <c r="L102" s="110"/>
    </row>
    <row r="103" spans="1:12" ht="12.75">
      <c r="A103" s="73"/>
      <c r="B103" s="145"/>
      <c r="C103" s="145"/>
      <c r="D103" s="145"/>
      <c r="E103" s="145"/>
      <c r="F103" s="145"/>
      <c r="G103" s="145"/>
      <c r="H103" s="145"/>
      <c r="I103" s="110"/>
      <c r="J103" s="112"/>
      <c r="K103" s="110"/>
      <c r="L103" s="110"/>
    </row>
    <row r="104" spans="1:12" ht="12.75">
      <c r="A104" s="73"/>
      <c r="B104" s="145"/>
      <c r="C104" s="145"/>
      <c r="D104" s="145"/>
      <c r="E104" s="145"/>
      <c r="F104" s="145"/>
      <c r="G104" s="145"/>
      <c r="H104" s="145"/>
      <c r="I104" s="110"/>
      <c r="J104" s="112"/>
      <c r="K104" s="110"/>
      <c r="L104" s="110"/>
    </row>
    <row r="105" ht="12.75"/>
    <row r="106" spans="1:11" ht="14.25" customHeight="1">
      <c r="A106" s="276"/>
      <c r="B106" s="524" t="s">
        <v>103</v>
      </c>
      <c r="C106" s="524" t="s">
        <v>103</v>
      </c>
      <c r="D106" s="731" t="s">
        <v>104</v>
      </c>
      <c r="E106" s="732"/>
      <c r="F106" s="525" t="s">
        <v>107</v>
      </c>
      <c r="G106" s="731" t="s">
        <v>105</v>
      </c>
      <c r="H106" s="733"/>
      <c r="I106" s="525" t="s">
        <v>107</v>
      </c>
      <c r="J106" s="734" t="s">
        <v>813</v>
      </c>
      <c r="K106" s="728" t="s">
        <v>588</v>
      </c>
    </row>
    <row r="107" spans="1:11" ht="28.5" customHeight="1">
      <c r="A107" s="114" t="s">
        <v>106</v>
      </c>
      <c r="B107" s="528" t="s">
        <v>74</v>
      </c>
      <c r="C107" s="528" t="s">
        <v>75</v>
      </c>
      <c r="D107" s="529" t="str">
        <f>CONCATENATE("No ",B13)</f>
        <v>No Bimestre</v>
      </c>
      <c r="E107" s="530" t="str">
        <f>F20</f>
        <v>Até o  Bimestre</v>
      </c>
      <c r="F107" s="529"/>
      <c r="G107" s="529" t="str">
        <f>CONCATENATE("No ",B13)</f>
        <v>No Bimestre</v>
      </c>
      <c r="H107" s="530" t="str">
        <f>F20</f>
        <v>Até o  Bimestre</v>
      </c>
      <c r="I107" s="529"/>
      <c r="J107" s="735"/>
      <c r="K107" s="729"/>
    </row>
    <row r="108" spans="1:11" ht="23.25" customHeight="1">
      <c r="A108" s="531"/>
      <c r="B108" s="532" t="s">
        <v>108</v>
      </c>
      <c r="C108" s="532" t="s">
        <v>109</v>
      </c>
      <c r="D108" s="532"/>
      <c r="E108" s="532" t="s">
        <v>190</v>
      </c>
      <c r="F108" s="533" t="s">
        <v>587</v>
      </c>
      <c r="G108" s="534"/>
      <c r="H108" s="534" t="s">
        <v>111</v>
      </c>
      <c r="I108" s="533" t="s">
        <v>586</v>
      </c>
      <c r="J108" s="534" t="s">
        <v>326</v>
      </c>
      <c r="K108" s="730"/>
    </row>
    <row r="109" spans="1:11" ht="12.75">
      <c r="A109" s="147" t="s">
        <v>573</v>
      </c>
      <c r="B109" s="118">
        <f>B110+B114+B118</f>
        <v>1072404900</v>
      </c>
      <c r="C109" s="118">
        <f>C110+C114+C118</f>
        <v>1121155865.3</v>
      </c>
      <c r="D109" s="118">
        <f>D110+D114+D118</f>
        <v>448247663.8000001</v>
      </c>
      <c r="E109" s="118">
        <f>E110+E114+E118</f>
        <v>448247663.8000001</v>
      </c>
      <c r="F109" s="118">
        <f aca="true" t="shared" si="9" ref="F109:F117">C109-E109</f>
        <v>672908201.4999999</v>
      </c>
      <c r="G109" s="148">
        <f>G110+G114+G118</f>
        <v>134975186.64</v>
      </c>
      <c r="H109" s="118">
        <f>H110+H114+H118</f>
        <v>134975186.64</v>
      </c>
      <c r="I109" s="116">
        <f aca="true" t="shared" si="10" ref="I109:I117">C109-H109</f>
        <v>986180678.66</v>
      </c>
      <c r="J109" s="119">
        <f>J110+J114+J118</f>
        <v>85701847.42</v>
      </c>
      <c r="K109" s="149">
        <f>K110+K114+K118</f>
        <v>0</v>
      </c>
    </row>
    <row r="110" spans="1:13" ht="12.75">
      <c r="A110" s="110" t="s">
        <v>57</v>
      </c>
      <c r="B110" s="118">
        <f>SUM(B111:B113)</f>
        <v>1029863900</v>
      </c>
      <c r="C110" s="118">
        <f>SUM(C111:C113)</f>
        <v>1062532559.05</v>
      </c>
      <c r="D110" s="118">
        <f>SUM(D111:D113)</f>
        <v>432357796.83000004</v>
      </c>
      <c r="E110" s="118">
        <f>SUM(E111:E113)</f>
        <v>432357796.83000004</v>
      </c>
      <c r="F110" s="118">
        <f t="shared" si="9"/>
        <v>630174762.2199999</v>
      </c>
      <c r="G110" s="148">
        <f>SUM(G111:G113)</f>
        <v>131681996.85999998</v>
      </c>
      <c r="H110" s="118">
        <f>SUM(H111:H113)</f>
        <v>131681996.85999998</v>
      </c>
      <c r="I110" s="116">
        <f t="shared" si="10"/>
        <v>930850562.1899999</v>
      </c>
      <c r="J110" s="118">
        <f>SUM(J111:J113)</f>
        <v>83513986.72</v>
      </c>
      <c r="K110" s="149">
        <f>SUM(K111:K113)</f>
        <v>0</v>
      </c>
      <c r="M110" s="105"/>
    </row>
    <row r="111" spans="1:13" s="105" customFormat="1" ht="12.75">
      <c r="A111" s="110" t="s">
        <v>58</v>
      </c>
      <c r="B111" s="118">
        <v>484642100</v>
      </c>
      <c r="C111" s="118">
        <v>491534655.24</v>
      </c>
      <c r="D111" s="118">
        <v>78193144.37</v>
      </c>
      <c r="E111" s="118">
        <v>78193144.37</v>
      </c>
      <c r="F111" s="118">
        <f t="shared" si="9"/>
        <v>413341510.87</v>
      </c>
      <c r="G111" s="118">
        <v>77904193.1</v>
      </c>
      <c r="H111" s="118">
        <v>77904193.1</v>
      </c>
      <c r="I111" s="116">
        <f t="shared" si="10"/>
        <v>413630462.14</v>
      </c>
      <c r="J111" s="118">
        <v>42063420.26</v>
      </c>
      <c r="K111" s="149"/>
      <c r="L111" s="103"/>
      <c r="M111" s="103"/>
    </row>
    <row r="112" spans="1:11" ht="12.75">
      <c r="A112" s="110" t="s">
        <v>59</v>
      </c>
      <c r="B112" s="118">
        <v>6000100</v>
      </c>
      <c r="C112" s="118">
        <v>6000100</v>
      </c>
      <c r="D112" s="118">
        <v>661580.85</v>
      </c>
      <c r="E112" s="118">
        <v>661580.85</v>
      </c>
      <c r="F112" s="118">
        <f t="shared" si="9"/>
        <v>5338519.15</v>
      </c>
      <c r="G112" s="118">
        <v>661580.85</v>
      </c>
      <c r="H112" s="118">
        <v>661580.85</v>
      </c>
      <c r="I112" s="116">
        <f t="shared" si="10"/>
        <v>5338519.15</v>
      </c>
      <c r="J112" s="118">
        <v>661580.85</v>
      </c>
      <c r="K112" s="149"/>
    </row>
    <row r="113" spans="1:13" ht="12.75">
      <c r="A113" s="110" t="s">
        <v>60</v>
      </c>
      <c r="B113" s="118">
        <v>539221700</v>
      </c>
      <c r="C113" s="118">
        <v>564997803.81</v>
      </c>
      <c r="D113" s="118">
        <v>353503071.61</v>
      </c>
      <c r="E113" s="118">
        <v>353503071.61</v>
      </c>
      <c r="F113" s="118">
        <f t="shared" si="9"/>
        <v>211494732.19999993</v>
      </c>
      <c r="G113" s="118">
        <v>53116222.91</v>
      </c>
      <c r="H113" s="118">
        <v>53116222.91</v>
      </c>
      <c r="I113" s="116">
        <f t="shared" si="10"/>
        <v>511881580.9</v>
      </c>
      <c r="J113" s="118">
        <v>40788985.61</v>
      </c>
      <c r="K113" s="149"/>
      <c r="M113" s="105"/>
    </row>
    <row r="114" spans="1:13" s="105" customFormat="1" ht="12.75">
      <c r="A114" s="110" t="s">
        <v>61</v>
      </c>
      <c r="B114" s="118">
        <f>SUM(B115:B117)</f>
        <v>26143200</v>
      </c>
      <c r="C114" s="118">
        <f>SUM(C115:C117)</f>
        <v>42225506.25</v>
      </c>
      <c r="D114" s="118">
        <f>SUM(D115:D117)</f>
        <v>15889866.969999999</v>
      </c>
      <c r="E114" s="118">
        <f>SUM(E115:E117)</f>
        <v>15889866.969999999</v>
      </c>
      <c r="F114" s="118">
        <f t="shared" si="9"/>
        <v>26335639.28</v>
      </c>
      <c r="G114" s="118">
        <f>SUM(G115:G117)</f>
        <v>3293189.7800000003</v>
      </c>
      <c r="H114" s="118">
        <f>SUM(H115:H117)</f>
        <v>3293189.7800000003</v>
      </c>
      <c r="I114" s="116">
        <f t="shared" si="10"/>
        <v>38932316.47</v>
      </c>
      <c r="J114" s="118">
        <f>SUM(J115:J117)</f>
        <v>2187860.7</v>
      </c>
      <c r="K114" s="149">
        <f>SUM(K115:K117)</f>
        <v>0</v>
      </c>
      <c r="L114" s="103"/>
      <c r="M114" s="103"/>
    </row>
    <row r="115" spans="1:11" ht="12.75">
      <c r="A115" s="110" t="s">
        <v>62</v>
      </c>
      <c r="B115" s="118">
        <v>19143100</v>
      </c>
      <c r="C115" s="118">
        <v>35225406.25</v>
      </c>
      <c r="D115" s="118">
        <v>14883456.52</v>
      </c>
      <c r="E115" s="118">
        <v>14883456.52</v>
      </c>
      <c r="F115" s="118">
        <f t="shared" si="9"/>
        <v>20341949.73</v>
      </c>
      <c r="G115" s="118">
        <v>2286779.33</v>
      </c>
      <c r="H115" s="118">
        <v>2286779.33</v>
      </c>
      <c r="I115" s="116">
        <f t="shared" si="10"/>
        <v>32938626.92</v>
      </c>
      <c r="J115" s="118">
        <v>1181450.25</v>
      </c>
      <c r="K115" s="149"/>
    </row>
    <row r="116" spans="1:11" ht="12.75">
      <c r="A116" s="110" t="s">
        <v>63</v>
      </c>
      <c r="B116" s="118"/>
      <c r="C116" s="118"/>
      <c r="D116" s="118"/>
      <c r="E116" s="118"/>
      <c r="F116" s="118">
        <f t="shared" si="9"/>
        <v>0</v>
      </c>
      <c r="G116" s="118"/>
      <c r="H116" s="118"/>
      <c r="I116" s="116">
        <f t="shared" si="10"/>
        <v>0</v>
      </c>
      <c r="J116" s="118"/>
      <c r="K116" s="149"/>
    </row>
    <row r="117" spans="1:11" ht="12.75">
      <c r="A117" s="110" t="s">
        <v>64</v>
      </c>
      <c r="B117" s="118">
        <v>7000100</v>
      </c>
      <c r="C117" s="118">
        <v>7000100</v>
      </c>
      <c r="D117" s="118">
        <v>1006410.45</v>
      </c>
      <c r="E117" s="118">
        <v>1006410.45</v>
      </c>
      <c r="F117" s="118">
        <f t="shared" si="9"/>
        <v>5993689.55</v>
      </c>
      <c r="G117" s="118">
        <v>1006410.45</v>
      </c>
      <c r="H117" s="118">
        <v>1006410.45</v>
      </c>
      <c r="I117" s="116">
        <f t="shared" si="10"/>
        <v>5993689.55</v>
      </c>
      <c r="J117" s="118">
        <v>1006410.45</v>
      </c>
      <c r="K117" s="150"/>
    </row>
    <row r="118" spans="1:11" ht="12.75" customHeight="1">
      <c r="A118" s="110" t="s">
        <v>65</v>
      </c>
      <c r="B118" s="116">
        <v>16397800</v>
      </c>
      <c r="C118" s="116">
        <v>16397800</v>
      </c>
      <c r="D118" s="151"/>
      <c r="E118" s="151"/>
      <c r="F118" s="116">
        <f>C118</f>
        <v>16397800</v>
      </c>
      <c r="G118" s="151"/>
      <c r="H118" s="151"/>
      <c r="I118" s="116">
        <f>C118</f>
        <v>16397800</v>
      </c>
      <c r="J118" s="151"/>
      <c r="K118" s="151"/>
    </row>
    <row r="119" spans="1:11" ht="12.75">
      <c r="A119" s="110" t="s">
        <v>574</v>
      </c>
      <c r="B119" s="116">
        <f>B213</f>
        <v>102125100</v>
      </c>
      <c r="C119" s="116">
        <f>C213</f>
        <v>102295220</v>
      </c>
      <c r="D119" s="116">
        <f>D213</f>
        <v>16331647.7</v>
      </c>
      <c r="E119" s="116">
        <f>E213</f>
        <v>16331647.7</v>
      </c>
      <c r="F119" s="116">
        <f aca="true" t="shared" si="11" ref="F119:F128">C119-E119</f>
        <v>85963572.3</v>
      </c>
      <c r="G119" s="116">
        <f>G213</f>
        <v>14400302.11</v>
      </c>
      <c r="H119" s="116">
        <f>H213</f>
        <v>14400302.11</v>
      </c>
      <c r="I119" s="116">
        <f>I213</f>
        <v>87894917.89</v>
      </c>
      <c r="J119" s="116">
        <f>J213</f>
        <v>7329606.77</v>
      </c>
      <c r="K119" s="118">
        <f>K213</f>
        <v>0</v>
      </c>
    </row>
    <row r="120" spans="1:11" ht="12.75">
      <c r="A120" s="134" t="s">
        <v>575</v>
      </c>
      <c r="B120" s="128">
        <f>B109+B119</f>
        <v>1174530000</v>
      </c>
      <c r="C120" s="128">
        <f>C109+C119</f>
        <v>1223451085.3</v>
      </c>
      <c r="D120" s="128">
        <f>D109+D119</f>
        <v>464579311.50000006</v>
      </c>
      <c r="E120" s="128">
        <f>E109+E119</f>
        <v>464579311.50000006</v>
      </c>
      <c r="F120" s="128">
        <f t="shared" si="11"/>
        <v>758871773.8</v>
      </c>
      <c r="G120" s="128">
        <f>G109+G119</f>
        <v>149375488.75</v>
      </c>
      <c r="H120" s="128">
        <f>H109+H119</f>
        <v>149375488.75</v>
      </c>
      <c r="I120" s="128">
        <f aca="true" t="shared" si="12" ref="I120:I128">C120-H120</f>
        <v>1074075596.55</v>
      </c>
      <c r="J120" s="128">
        <f>J109+J119</f>
        <v>93031454.19</v>
      </c>
      <c r="K120" s="129">
        <f>K109+K119</f>
        <v>0</v>
      </c>
    </row>
    <row r="121" spans="1:11" ht="12.75">
      <c r="A121" s="130" t="s">
        <v>576</v>
      </c>
      <c r="B121" s="117">
        <f>B122+B125</f>
        <v>0</v>
      </c>
      <c r="C121" s="117">
        <f>C122+C125</f>
        <v>0</v>
      </c>
      <c r="D121" s="117">
        <f>D122+D125</f>
        <v>0</v>
      </c>
      <c r="E121" s="117">
        <f>E122+E125</f>
        <v>0</v>
      </c>
      <c r="F121" s="117">
        <f t="shared" si="11"/>
        <v>0</v>
      </c>
      <c r="G121" s="117">
        <f>G122+G125</f>
        <v>0</v>
      </c>
      <c r="H121" s="117">
        <f>H122+H125</f>
        <v>0</v>
      </c>
      <c r="I121" s="117">
        <f t="shared" si="12"/>
        <v>0</v>
      </c>
      <c r="J121" s="117">
        <f>J122+J125</f>
        <v>0</v>
      </c>
      <c r="K121" s="118">
        <f>K122+K125</f>
        <v>0</v>
      </c>
    </row>
    <row r="122" spans="1:11" ht="12.75">
      <c r="A122" s="131" t="s">
        <v>2</v>
      </c>
      <c r="B122" s="116">
        <f>SUM(B123:B124)</f>
        <v>0</v>
      </c>
      <c r="C122" s="116">
        <f>SUM(C123:C124)</f>
        <v>0</v>
      </c>
      <c r="D122" s="116">
        <f>SUM(D123:D124)</f>
        <v>0</v>
      </c>
      <c r="E122" s="118">
        <f>SUM(E123:E124)</f>
        <v>0</v>
      </c>
      <c r="F122" s="116">
        <f t="shared" si="11"/>
        <v>0</v>
      </c>
      <c r="G122" s="116">
        <f>SUM(G123:G124)</f>
        <v>0</v>
      </c>
      <c r="H122" s="118">
        <f>SUM(H123:H124)</f>
        <v>0</v>
      </c>
      <c r="I122" s="116">
        <f t="shared" si="12"/>
        <v>0</v>
      </c>
      <c r="J122" s="118">
        <f>SUM(J123:J124)</f>
        <v>0</v>
      </c>
      <c r="K122" s="118">
        <f>SUM(K123:K124)</f>
        <v>0</v>
      </c>
    </row>
    <row r="123" spans="1:11" ht="12.75">
      <c r="A123" s="131" t="s">
        <v>0</v>
      </c>
      <c r="B123" s="116"/>
      <c r="C123" s="116"/>
      <c r="D123" s="116"/>
      <c r="E123" s="118"/>
      <c r="F123" s="116">
        <f t="shared" si="11"/>
        <v>0</v>
      </c>
      <c r="G123" s="116"/>
      <c r="H123" s="118"/>
      <c r="I123" s="116">
        <f t="shared" si="12"/>
        <v>0</v>
      </c>
      <c r="J123" s="118"/>
      <c r="K123" s="118"/>
    </row>
    <row r="124" spans="1:11" ht="12.75">
      <c r="A124" s="131" t="s">
        <v>1</v>
      </c>
      <c r="B124" s="116"/>
      <c r="C124" s="116"/>
      <c r="D124" s="116"/>
      <c r="E124" s="118"/>
      <c r="F124" s="116">
        <f t="shared" si="11"/>
        <v>0</v>
      </c>
      <c r="G124" s="116"/>
      <c r="H124" s="118"/>
      <c r="I124" s="116">
        <f t="shared" si="12"/>
        <v>0</v>
      </c>
      <c r="J124" s="118"/>
      <c r="K124" s="118"/>
    </row>
    <row r="125" spans="1:11" ht="12.75">
      <c r="A125" s="131" t="s">
        <v>3</v>
      </c>
      <c r="B125" s="116">
        <f>SUM(B126:B127)</f>
        <v>0</v>
      </c>
      <c r="C125" s="116">
        <f>SUM(C126:C127)</f>
        <v>0</v>
      </c>
      <c r="D125" s="116">
        <f>SUM(D126:D127)</f>
        <v>0</v>
      </c>
      <c r="E125" s="118">
        <f>SUM(E126:E127)</f>
        <v>0</v>
      </c>
      <c r="F125" s="116">
        <f t="shared" si="11"/>
        <v>0</v>
      </c>
      <c r="G125" s="116">
        <f>SUM(G126:G127)</f>
        <v>0</v>
      </c>
      <c r="H125" s="118">
        <f>SUM(H126:H127)</f>
        <v>0</v>
      </c>
      <c r="I125" s="116">
        <f t="shared" si="12"/>
        <v>0</v>
      </c>
      <c r="J125" s="118">
        <f>SUM(J126:J127)</f>
        <v>0</v>
      </c>
      <c r="K125" s="118">
        <f>SUM(K126:K127)</f>
        <v>0</v>
      </c>
    </row>
    <row r="126" spans="1:11" ht="12.75">
      <c r="A126" s="131" t="s">
        <v>0</v>
      </c>
      <c r="B126" s="116"/>
      <c r="C126" s="116"/>
      <c r="D126" s="116"/>
      <c r="E126" s="118"/>
      <c r="F126" s="116">
        <f t="shared" si="11"/>
        <v>0</v>
      </c>
      <c r="G126" s="116"/>
      <c r="H126" s="118"/>
      <c r="I126" s="116">
        <f t="shared" si="12"/>
        <v>0</v>
      </c>
      <c r="J126" s="118"/>
      <c r="K126" s="118"/>
    </row>
    <row r="127" spans="1:11" ht="12.75">
      <c r="A127" s="152" t="s">
        <v>1</v>
      </c>
      <c r="B127" s="132"/>
      <c r="C127" s="132"/>
      <c r="D127" s="132"/>
      <c r="E127" s="133"/>
      <c r="F127" s="132">
        <f t="shared" si="11"/>
        <v>0</v>
      </c>
      <c r="G127" s="132"/>
      <c r="H127" s="133"/>
      <c r="I127" s="132">
        <f t="shared" si="12"/>
        <v>0</v>
      </c>
      <c r="J127" s="133"/>
      <c r="K127" s="133"/>
    </row>
    <row r="128" spans="1:11" ht="12.75">
      <c r="A128" s="153" t="s">
        <v>577</v>
      </c>
      <c r="B128" s="132">
        <f>B120+B121</f>
        <v>1174530000</v>
      </c>
      <c r="C128" s="132">
        <f>C120+C121</f>
        <v>1223451085.3</v>
      </c>
      <c r="D128" s="132">
        <f>D120+D121</f>
        <v>464579311.50000006</v>
      </c>
      <c r="E128" s="132">
        <f>E120+E121</f>
        <v>464579311.50000006</v>
      </c>
      <c r="F128" s="132">
        <f t="shared" si="11"/>
        <v>758871773.8</v>
      </c>
      <c r="G128" s="132">
        <f>G120+G121</f>
        <v>149375488.75</v>
      </c>
      <c r="H128" s="132">
        <f>H120+H121</f>
        <v>149375488.75</v>
      </c>
      <c r="I128" s="132">
        <f t="shared" si="12"/>
        <v>1074075596.55</v>
      </c>
      <c r="J128" s="132">
        <f>J120+J121</f>
        <v>93031454.19</v>
      </c>
      <c r="K128" s="133">
        <f>K120+K121</f>
        <v>0</v>
      </c>
    </row>
    <row r="129" spans="1:11" ht="12.75">
      <c r="A129" s="153" t="s">
        <v>578</v>
      </c>
      <c r="B129" s="151"/>
      <c r="C129" s="151"/>
      <c r="D129" s="151"/>
      <c r="E129" s="128">
        <f>IF(F95&gt;E128,F95-E128,0)</f>
        <v>0</v>
      </c>
      <c r="F129" s="151"/>
      <c r="G129" s="151"/>
      <c r="H129" s="132">
        <f>IF(F95&gt;H128,F95-H128,0)</f>
        <v>68821352.4</v>
      </c>
      <c r="I129" s="151"/>
      <c r="J129" s="132">
        <f>IF(F95&gt;J128,F95-J128,0)</f>
        <v>125165386.96000001</v>
      </c>
      <c r="K129" s="154"/>
    </row>
    <row r="130" spans="1:11" ht="12.75">
      <c r="A130" s="153" t="s">
        <v>579</v>
      </c>
      <c r="B130" s="132">
        <f>B128+B129</f>
        <v>1174530000</v>
      </c>
      <c r="C130" s="132">
        <f>C128+C129</f>
        <v>1223451085.3</v>
      </c>
      <c r="D130" s="132">
        <f>D128+D129</f>
        <v>464579311.50000006</v>
      </c>
      <c r="E130" s="132">
        <f>E128+E129</f>
        <v>464579311.50000006</v>
      </c>
      <c r="F130" s="128"/>
      <c r="G130" s="132">
        <f>G128+G129</f>
        <v>149375488.75</v>
      </c>
      <c r="H130" s="132">
        <f>H128+H129</f>
        <v>218196841.15</v>
      </c>
      <c r="I130" s="128"/>
      <c r="J130" s="132">
        <f>J128+J129</f>
        <v>218196841.15</v>
      </c>
      <c r="K130" s="133">
        <f>K128+K129</f>
        <v>0</v>
      </c>
    </row>
    <row r="131" spans="1:11" ht="12.75">
      <c r="A131" s="110" t="s">
        <v>643</v>
      </c>
      <c r="B131" s="116">
        <v>25470000</v>
      </c>
      <c r="C131" s="116">
        <v>25470000</v>
      </c>
      <c r="D131" s="151"/>
      <c r="E131" s="151"/>
      <c r="F131" s="116">
        <f>C131</f>
        <v>25470000</v>
      </c>
      <c r="G131" s="151"/>
      <c r="H131" s="151"/>
      <c r="I131" s="116">
        <f>C131</f>
        <v>25470000</v>
      </c>
      <c r="J131" s="151"/>
      <c r="K131" s="154"/>
    </row>
    <row r="132" spans="1:12" ht="12.75">
      <c r="A132" s="736" t="s">
        <v>1061</v>
      </c>
      <c r="B132" s="736"/>
      <c r="C132" s="736"/>
      <c r="D132" s="736"/>
      <c r="E132" s="736"/>
      <c r="F132" s="736"/>
      <c r="G132" s="736"/>
      <c r="H132" s="736"/>
      <c r="I132" s="736"/>
      <c r="J132" s="736"/>
      <c r="K132" s="737"/>
      <c r="L132" s="110"/>
    </row>
    <row r="133" spans="1:12" ht="12.75">
      <c r="A133" s="156" t="s">
        <v>468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L133" s="110"/>
    </row>
    <row r="134" spans="1:13" ht="12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M134" s="110"/>
    </row>
    <row r="135" spans="1:13" ht="22.5" customHeight="1">
      <c r="A135" s="535" t="s">
        <v>1048</v>
      </c>
      <c r="B135" s="18">
        <v>1200000000</v>
      </c>
      <c r="C135" s="156"/>
      <c r="D135" s="156"/>
      <c r="E135" s="156"/>
      <c r="F135" s="156"/>
      <c r="G135" s="156"/>
      <c r="H135" s="156"/>
      <c r="I135" s="156"/>
      <c r="J135" s="156"/>
      <c r="M135" s="110"/>
    </row>
    <row r="136" spans="1:13" ht="22.5" customHeight="1">
      <c r="A136" s="535" t="s">
        <v>1049</v>
      </c>
      <c r="B136" s="29">
        <v>1200000000</v>
      </c>
      <c r="C136" s="156"/>
      <c r="D136" s="156"/>
      <c r="E136" s="156"/>
      <c r="F136" s="156"/>
      <c r="G136" s="156"/>
      <c r="H136" s="156"/>
      <c r="I136" s="156"/>
      <c r="J136" s="156"/>
      <c r="M136" s="110"/>
    </row>
    <row r="137" spans="1:13" ht="12.75" customHeight="1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M137" s="110"/>
    </row>
    <row r="138" spans="1:8" ht="25.5">
      <c r="A138" s="536"/>
      <c r="B138" s="734" t="s">
        <v>467</v>
      </c>
      <c r="C138" s="537" t="s">
        <v>197</v>
      </c>
      <c r="D138" s="741" t="s">
        <v>72</v>
      </c>
      <c r="E138" s="742"/>
      <c r="F138" s="742"/>
      <c r="G138" s="742"/>
      <c r="H138" s="524" t="s">
        <v>107</v>
      </c>
    </row>
    <row r="139" spans="1:8" ht="12.75">
      <c r="A139" s="538" t="s">
        <v>580</v>
      </c>
      <c r="B139" s="735"/>
      <c r="C139" s="539"/>
      <c r="D139" s="524" t="str">
        <f>D107</f>
        <v>No Bimestre</v>
      </c>
      <c r="E139" s="524" t="s">
        <v>77</v>
      </c>
      <c r="F139" s="524" t="str">
        <f>E107</f>
        <v>Até o  Bimestre</v>
      </c>
      <c r="G139" s="524" t="s">
        <v>77</v>
      </c>
      <c r="H139" s="524"/>
    </row>
    <row r="140" spans="1:8" ht="12.75">
      <c r="A140" s="540"/>
      <c r="B140" s="740"/>
      <c r="C140" s="542" t="s">
        <v>79</v>
      </c>
      <c r="D140" s="534" t="s">
        <v>80</v>
      </c>
      <c r="E140" s="534" t="s">
        <v>81</v>
      </c>
      <c r="F140" s="534" t="s">
        <v>100</v>
      </c>
      <c r="G140" s="534" t="s">
        <v>101</v>
      </c>
      <c r="H140" s="534" t="s">
        <v>102</v>
      </c>
    </row>
    <row r="141" spans="1:8" ht="12.75">
      <c r="A141" s="157" t="s">
        <v>55</v>
      </c>
      <c r="B141" s="116">
        <f>B142+B182</f>
        <v>107358500</v>
      </c>
      <c r="C141" s="117">
        <f>C142+C182</f>
        <v>107358500</v>
      </c>
      <c r="D141" s="118">
        <f>D142+D182</f>
        <v>8107735.399999999</v>
      </c>
      <c r="E141" s="119">
        <f aca="true" t="shared" si="13" ref="E141:E172">IF(C141&gt;0,D141/C141,0)*100</f>
        <v>7.552020007731105</v>
      </c>
      <c r="F141" s="119">
        <f>F142+F182</f>
        <v>8107735.399999999</v>
      </c>
      <c r="G141" s="119">
        <f aca="true" t="shared" si="14" ref="G141:G172">IF(C141&gt;0,F141/C141,0)*100</f>
        <v>7.552020007731105</v>
      </c>
      <c r="H141" s="118">
        <f aca="true" t="shared" si="15" ref="H141:H172">C141-F141</f>
        <v>99250764.6</v>
      </c>
    </row>
    <row r="142" spans="1:8" ht="12.75">
      <c r="A142" s="120" t="s">
        <v>7</v>
      </c>
      <c r="B142" s="116">
        <f>B143+B147+B152+B160+B161+B162+B168+B177+B183+B186+B190+B191+B200</f>
        <v>107358500</v>
      </c>
      <c r="C142" s="116">
        <f>C143+C147+C152+C160+C161+C162+C168+C177+C183+C186+C190+C191+C200</f>
        <v>107358500</v>
      </c>
      <c r="D142" s="118">
        <f>D143+D147+D152+D160+D161+D162+D168+D177+D183+D186+D190+D191+D200</f>
        <v>8107735.399999999</v>
      </c>
      <c r="E142" s="118">
        <f t="shared" si="13"/>
        <v>7.552020007731105</v>
      </c>
      <c r="F142" s="118">
        <f>F143+F147+F152+F160+F161+F162+F168+F177+F183+F186+F190+F191+F200</f>
        <v>8107735.399999999</v>
      </c>
      <c r="G142" s="118">
        <f t="shared" si="14"/>
        <v>7.552020007731105</v>
      </c>
      <c r="H142" s="118">
        <f t="shared" si="15"/>
        <v>99250764.6</v>
      </c>
    </row>
    <row r="143" spans="1:8" ht="12.75">
      <c r="A143" s="158" t="s">
        <v>709</v>
      </c>
      <c r="B143" s="116">
        <f>SUM(B144:B146)</f>
        <v>710000</v>
      </c>
      <c r="C143" s="116">
        <f>SUM(C144:C146)</f>
        <v>710000</v>
      </c>
      <c r="D143" s="118">
        <f>SUM(D144:D146)</f>
        <v>0</v>
      </c>
      <c r="E143" s="118">
        <f t="shared" si="13"/>
        <v>0</v>
      </c>
      <c r="F143" s="118">
        <f>SUM(F144:F146)</f>
        <v>0</v>
      </c>
      <c r="G143" s="118">
        <f t="shared" si="14"/>
        <v>0</v>
      </c>
      <c r="H143" s="118">
        <f t="shared" si="15"/>
        <v>710000</v>
      </c>
    </row>
    <row r="144" spans="1:8" ht="12.75">
      <c r="A144" s="120" t="s">
        <v>8</v>
      </c>
      <c r="B144" s="116"/>
      <c r="C144" s="116"/>
      <c r="D144" s="118"/>
      <c r="E144" s="118">
        <f t="shared" si="13"/>
        <v>0</v>
      </c>
      <c r="F144" s="118"/>
      <c r="G144" s="118">
        <f t="shared" si="14"/>
        <v>0</v>
      </c>
      <c r="H144" s="118">
        <f t="shared" si="15"/>
        <v>0</v>
      </c>
    </row>
    <row r="145" spans="1:8" ht="12.75">
      <c r="A145" s="120" t="s">
        <v>9</v>
      </c>
      <c r="B145" s="116">
        <v>710000</v>
      </c>
      <c r="C145" s="116">
        <v>710000</v>
      </c>
      <c r="D145" s="118">
        <v>0</v>
      </c>
      <c r="E145" s="118">
        <f t="shared" si="13"/>
        <v>0</v>
      </c>
      <c r="F145" s="118">
        <v>0</v>
      </c>
      <c r="G145" s="118">
        <f t="shared" si="14"/>
        <v>0</v>
      </c>
      <c r="H145" s="118">
        <f t="shared" si="15"/>
        <v>710000</v>
      </c>
    </row>
    <row r="146" spans="1:8" ht="12.75">
      <c r="A146" s="120" t="s">
        <v>10</v>
      </c>
      <c r="B146" s="116"/>
      <c r="C146" s="116"/>
      <c r="D146" s="118"/>
      <c r="E146" s="118">
        <f t="shared" si="13"/>
        <v>0</v>
      </c>
      <c r="F146" s="118"/>
      <c r="G146" s="118">
        <f t="shared" si="14"/>
        <v>0</v>
      </c>
      <c r="H146" s="118">
        <f t="shared" si="15"/>
        <v>0</v>
      </c>
    </row>
    <row r="147" spans="1:8" ht="12.75">
      <c r="A147" s="158" t="s">
        <v>678</v>
      </c>
      <c r="B147" s="116">
        <f>SUM(B148:B151)</f>
        <v>102155500</v>
      </c>
      <c r="C147" s="116">
        <f>SUM(C148:C151)</f>
        <v>102155500</v>
      </c>
      <c r="D147" s="118">
        <f>SUM(D148:D151)</f>
        <v>7865110.72</v>
      </c>
      <c r="E147" s="118">
        <f t="shared" si="13"/>
        <v>7.699155424818047</v>
      </c>
      <c r="F147" s="118">
        <f>SUM(F148:F151)</f>
        <v>7865110.72</v>
      </c>
      <c r="G147" s="118">
        <f t="shared" si="14"/>
        <v>7.699155424818047</v>
      </c>
      <c r="H147" s="118">
        <f t="shared" si="15"/>
        <v>94290389.28</v>
      </c>
    </row>
    <row r="148" spans="1:8" ht="12.75">
      <c r="A148" s="120" t="s">
        <v>11</v>
      </c>
      <c r="B148" s="116">
        <v>102155500</v>
      </c>
      <c r="C148" s="116">
        <v>102155500</v>
      </c>
      <c r="D148" s="118">
        <v>7865110.72</v>
      </c>
      <c r="E148" s="118">
        <f t="shared" si="13"/>
        <v>7.699155424818047</v>
      </c>
      <c r="F148" s="118">
        <v>7865110.72</v>
      </c>
      <c r="G148" s="118">
        <f t="shared" si="14"/>
        <v>7.699155424818047</v>
      </c>
      <c r="H148" s="118">
        <f t="shared" si="15"/>
        <v>94290389.28</v>
      </c>
    </row>
    <row r="149" spans="1:8" ht="12.75">
      <c r="A149" s="120" t="s">
        <v>679</v>
      </c>
      <c r="B149" s="116"/>
      <c r="C149" s="116"/>
      <c r="D149" s="118"/>
      <c r="E149" s="118">
        <f t="shared" si="13"/>
        <v>0</v>
      </c>
      <c r="F149" s="118"/>
      <c r="G149" s="118">
        <f t="shared" si="14"/>
        <v>0</v>
      </c>
      <c r="H149" s="118">
        <f t="shared" si="15"/>
        <v>0</v>
      </c>
    </row>
    <row r="150" spans="1:8" ht="25.5">
      <c r="A150" s="159" t="s">
        <v>702</v>
      </c>
      <c r="B150" s="116"/>
      <c r="C150" s="116"/>
      <c r="D150" s="118"/>
      <c r="E150" s="118">
        <f t="shared" si="13"/>
        <v>0</v>
      </c>
      <c r="F150" s="118"/>
      <c r="G150" s="118">
        <f t="shared" si="14"/>
        <v>0</v>
      </c>
      <c r="H150" s="118">
        <f t="shared" si="15"/>
        <v>0</v>
      </c>
    </row>
    <row r="151" spans="1:8" ht="25.5">
      <c r="A151" s="115" t="s">
        <v>714</v>
      </c>
      <c r="B151" s="116"/>
      <c r="C151" s="116"/>
      <c r="D151" s="118"/>
      <c r="E151" s="118">
        <f t="shared" si="13"/>
        <v>0</v>
      </c>
      <c r="F151" s="118"/>
      <c r="G151" s="118">
        <f t="shared" si="14"/>
        <v>0</v>
      </c>
      <c r="H151" s="118">
        <f t="shared" si="15"/>
        <v>0</v>
      </c>
    </row>
    <row r="152" spans="1:8" ht="12.75">
      <c r="A152" s="120" t="s">
        <v>12</v>
      </c>
      <c r="B152" s="116">
        <f>SUM(B153:B159)</f>
        <v>0</v>
      </c>
      <c r="C152" s="116">
        <f>SUM(C153:C159)</f>
        <v>0</v>
      </c>
      <c r="D152" s="118">
        <f>SUM(D153:D159)</f>
        <v>0</v>
      </c>
      <c r="E152" s="118">
        <f t="shared" si="13"/>
        <v>0</v>
      </c>
      <c r="F152" s="118">
        <f>SUM(F153:F159)</f>
        <v>0</v>
      </c>
      <c r="G152" s="118">
        <f t="shared" si="14"/>
        <v>0</v>
      </c>
      <c r="H152" s="118">
        <f t="shared" si="15"/>
        <v>0</v>
      </c>
    </row>
    <row r="153" spans="1:8" ht="12.75">
      <c r="A153" s="120" t="s">
        <v>680</v>
      </c>
      <c r="B153" s="116"/>
      <c r="C153" s="116"/>
      <c r="D153" s="118"/>
      <c r="E153" s="118">
        <f t="shared" si="13"/>
        <v>0</v>
      </c>
      <c r="F153" s="118"/>
      <c r="G153" s="118">
        <f t="shared" si="14"/>
        <v>0</v>
      </c>
      <c r="H153" s="118">
        <f t="shared" si="15"/>
        <v>0</v>
      </c>
    </row>
    <row r="154" spans="1:8" ht="12.75">
      <c r="A154" s="120" t="s">
        <v>681</v>
      </c>
      <c r="B154" s="116"/>
      <c r="C154" s="116"/>
      <c r="D154" s="118"/>
      <c r="E154" s="118">
        <f t="shared" si="13"/>
        <v>0</v>
      </c>
      <c r="F154" s="118"/>
      <c r="G154" s="118">
        <f t="shared" si="14"/>
        <v>0</v>
      </c>
      <c r="H154" s="118">
        <f t="shared" si="15"/>
        <v>0</v>
      </c>
    </row>
    <row r="155" spans="1:8" ht="25.5">
      <c r="A155" s="115" t="s">
        <v>715</v>
      </c>
      <c r="B155" s="116"/>
      <c r="C155" s="116"/>
      <c r="D155" s="118"/>
      <c r="E155" s="118">
        <f t="shared" si="13"/>
        <v>0</v>
      </c>
      <c r="F155" s="118"/>
      <c r="G155" s="118">
        <f t="shared" si="14"/>
        <v>0</v>
      </c>
      <c r="H155" s="118">
        <f t="shared" si="15"/>
        <v>0</v>
      </c>
    </row>
    <row r="156" spans="1:8" ht="12.75">
      <c r="A156" s="120" t="s">
        <v>682</v>
      </c>
      <c r="B156" s="116"/>
      <c r="C156" s="116"/>
      <c r="D156" s="118"/>
      <c r="E156" s="118">
        <f t="shared" si="13"/>
        <v>0</v>
      </c>
      <c r="F156" s="118"/>
      <c r="G156" s="118">
        <f t="shared" si="14"/>
        <v>0</v>
      </c>
      <c r="H156" s="118">
        <f t="shared" si="15"/>
        <v>0</v>
      </c>
    </row>
    <row r="157" spans="1:8" ht="12.75">
      <c r="A157" s="120" t="s">
        <v>683</v>
      </c>
      <c r="B157" s="116"/>
      <c r="C157" s="116"/>
      <c r="D157" s="118"/>
      <c r="E157" s="118">
        <f t="shared" si="13"/>
        <v>0</v>
      </c>
      <c r="F157" s="118"/>
      <c r="G157" s="118">
        <f t="shared" si="14"/>
        <v>0</v>
      </c>
      <c r="H157" s="118">
        <f t="shared" si="15"/>
        <v>0</v>
      </c>
    </row>
    <row r="158" spans="1:8" ht="12.75">
      <c r="A158" s="120" t="s">
        <v>710</v>
      </c>
      <c r="B158" s="116"/>
      <c r="C158" s="116"/>
      <c r="D158" s="118"/>
      <c r="E158" s="118">
        <f t="shared" si="13"/>
        <v>0</v>
      </c>
      <c r="F158" s="118"/>
      <c r="G158" s="118">
        <f t="shared" si="14"/>
        <v>0</v>
      </c>
      <c r="H158" s="118">
        <f t="shared" si="15"/>
        <v>0</v>
      </c>
    </row>
    <row r="159" spans="1:8" ht="12.75">
      <c r="A159" s="120" t="s">
        <v>711</v>
      </c>
      <c r="B159" s="116"/>
      <c r="C159" s="116"/>
      <c r="D159" s="118"/>
      <c r="E159" s="118">
        <f t="shared" si="13"/>
        <v>0</v>
      </c>
      <c r="F159" s="118"/>
      <c r="G159" s="118">
        <f t="shared" si="14"/>
        <v>0</v>
      </c>
      <c r="H159" s="118">
        <f t="shared" si="15"/>
        <v>0</v>
      </c>
    </row>
    <row r="160" spans="1:8" ht="12.75">
      <c r="A160" s="120" t="s">
        <v>16</v>
      </c>
      <c r="B160" s="116"/>
      <c r="C160" s="116"/>
      <c r="D160" s="118"/>
      <c r="E160" s="118">
        <f t="shared" si="13"/>
        <v>0</v>
      </c>
      <c r="F160" s="118"/>
      <c r="G160" s="118">
        <f t="shared" si="14"/>
        <v>0</v>
      </c>
      <c r="H160" s="118">
        <f t="shared" si="15"/>
        <v>0</v>
      </c>
    </row>
    <row r="161" spans="1:8" ht="12.75">
      <c r="A161" s="120" t="s">
        <v>17</v>
      </c>
      <c r="B161" s="116"/>
      <c r="C161" s="116"/>
      <c r="D161" s="118"/>
      <c r="E161" s="118">
        <f t="shared" si="13"/>
        <v>0</v>
      </c>
      <c r="F161" s="118"/>
      <c r="G161" s="118">
        <f t="shared" si="14"/>
        <v>0</v>
      </c>
      <c r="H161" s="118">
        <f t="shared" si="15"/>
        <v>0</v>
      </c>
    </row>
    <row r="162" spans="1:8" ht="12.75">
      <c r="A162" s="120" t="s">
        <v>18</v>
      </c>
      <c r="B162" s="116">
        <f>SUM(B163:B167)</f>
        <v>2713000</v>
      </c>
      <c r="C162" s="116">
        <f>SUM(C163:C167)</f>
        <v>2713000</v>
      </c>
      <c r="D162" s="118">
        <f>SUM(D163:D167)</f>
        <v>140493.14</v>
      </c>
      <c r="E162" s="118">
        <f t="shared" si="13"/>
        <v>5.1785160339108005</v>
      </c>
      <c r="F162" s="118">
        <f>SUM(F163:F167)</f>
        <v>140493.14</v>
      </c>
      <c r="G162" s="118">
        <f t="shared" si="14"/>
        <v>5.1785160339108005</v>
      </c>
      <c r="H162" s="118">
        <f t="shared" si="15"/>
        <v>2572506.86</v>
      </c>
    </row>
    <row r="163" spans="1:8" ht="12.75">
      <c r="A163" s="120" t="s">
        <v>686</v>
      </c>
      <c r="B163" s="116">
        <v>2628000</v>
      </c>
      <c r="C163" s="116">
        <v>2628000</v>
      </c>
      <c r="D163" s="118">
        <v>140492.26</v>
      </c>
      <c r="E163" s="118">
        <f t="shared" si="13"/>
        <v>5.3459764079147645</v>
      </c>
      <c r="F163" s="118">
        <v>140492.26</v>
      </c>
      <c r="G163" s="118">
        <f t="shared" si="14"/>
        <v>5.3459764079147645</v>
      </c>
      <c r="H163" s="118">
        <f t="shared" si="15"/>
        <v>2487507.74</v>
      </c>
    </row>
    <row r="164" spans="1:8" ht="25.5">
      <c r="A164" s="115" t="s">
        <v>716</v>
      </c>
      <c r="B164" s="116"/>
      <c r="C164" s="116"/>
      <c r="D164" s="118"/>
      <c r="E164" s="118">
        <f t="shared" si="13"/>
        <v>0</v>
      </c>
      <c r="F164" s="118"/>
      <c r="G164" s="118">
        <f t="shared" si="14"/>
        <v>0</v>
      </c>
      <c r="H164" s="118">
        <f t="shared" si="15"/>
        <v>0</v>
      </c>
    </row>
    <row r="165" spans="1:8" ht="12.75">
      <c r="A165" s="120" t="s">
        <v>687</v>
      </c>
      <c r="B165" s="116"/>
      <c r="C165" s="116"/>
      <c r="D165" s="118"/>
      <c r="E165" s="118">
        <f t="shared" si="13"/>
        <v>0</v>
      </c>
      <c r="F165" s="118"/>
      <c r="G165" s="118">
        <f t="shared" si="14"/>
        <v>0</v>
      </c>
      <c r="H165" s="118">
        <f t="shared" si="15"/>
        <v>0</v>
      </c>
    </row>
    <row r="166" spans="1:8" ht="12.75">
      <c r="A166" s="120" t="s">
        <v>688</v>
      </c>
      <c r="B166" s="116"/>
      <c r="C166" s="116"/>
      <c r="D166" s="118"/>
      <c r="E166" s="118">
        <f t="shared" si="13"/>
        <v>0</v>
      </c>
      <c r="F166" s="118"/>
      <c r="G166" s="118">
        <f t="shared" si="14"/>
        <v>0</v>
      </c>
      <c r="H166" s="118">
        <f t="shared" si="15"/>
        <v>0</v>
      </c>
    </row>
    <row r="167" spans="1:8" ht="12.75">
      <c r="A167" s="120" t="s">
        <v>689</v>
      </c>
      <c r="B167" s="116">
        <v>85000</v>
      </c>
      <c r="C167" s="116">
        <v>85000</v>
      </c>
      <c r="D167" s="118">
        <v>0.88</v>
      </c>
      <c r="E167" s="118">
        <f t="shared" si="13"/>
        <v>0.0010352941176470587</v>
      </c>
      <c r="F167" s="118">
        <v>0.88</v>
      </c>
      <c r="G167" s="118">
        <f t="shared" si="14"/>
        <v>0.0010352941176470587</v>
      </c>
      <c r="H167" s="118">
        <f t="shared" si="15"/>
        <v>84999.12</v>
      </c>
    </row>
    <row r="168" spans="1:8" ht="12.75">
      <c r="A168" s="120" t="s">
        <v>19</v>
      </c>
      <c r="B168" s="116">
        <f>SUM(B169:B176)</f>
        <v>0</v>
      </c>
      <c r="C168" s="116">
        <f>SUM(C169:C176)</f>
        <v>0</v>
      </c>
      <c r="D168" s="118">
        <f>SUM(D169:D176)</f>
        <v>0</v>
      </c>
      <c r="E168" s="118">
        <f t="shared" si="13"/>
        <v>0</v>
      </c>
      <c r="F168" s="118">
        <f>SUM(F169:F176)</f>
        <v>0</v>
      </c>
      <c r="G168" s="118">
        <f t="shared" si="14"/>
        <v>0</v>
      </c>
      <c r="H168" s="118">
        <f t="shared" si="15"/>
        <v>0</v>
      </c>
    </row>
    <row r="169" spans="1:8" ht="25.5">
      <c r="A169" s="115" t="s">
        <v>717</v>
      </c>
      <c r="B169" s="116"/>
      <c r="C169" s="116"/>
      <c r="D169" s="118"/>
      <c r="E169" s="118">
        <f t="shared" si="13"/>
        <v>0</v>
      </c>
      <c r="F169" s="118"/>
      <c r="G169" s="118">
        <f t="shared" si="14"/>
        <v>0</v>
      </c>
      <c r="H169" s="118">
        <f t="shared" si="15"/>
        <v>0</v>
      </c>
    </row>
    <row r="170" spans="1:8" ht="25.5">
      <c r="A170" s="115" t="s">
        <v>718</v>
      </c>
      <c r="B170" s="116"/>
      <c r="C170" s="116"/>
      <c r="D170" s="118"/>
      <c r="E170" s="118">
        <f t="shared" si="13"/>
        <v>0</v>
      </c>
      <c r="F170" s="118"/>
      <c r="G170" s="118">
        <f t="shared" si="14"/>
        <v>0</v>
      </c>
      <c r="H170" s="118">
        <f t="shared" si="15"/>
        <v>0</v>
      </c>
    </row>
    <row r="171" spans="1:8" ht="12.75">
      <c r="A171" s="120" t="s">
        <v>691</v>
      </c>
      <c r="B171" s="116"/>
      <c r="C171" s="116"/>
      <c r="D171" s="118"/>
      <c r="E171" s="118">
        <f t="shared" si="13"/>
        <v>0</v>
      </c>
      <c r="F171" s="118"/>
      <c r="G171" s="118">
        <f t="shared" si="14"/>
        <v>0</v>
      </c>
      <c r="H171" s="118">
        <f t="shared" si="15"/>
        <v>0</v>
      </c>
    </row>
    <row r="172" spans="1:8" ht="12.75">
      <c r="A172" s="120" t="s">
        <v>20</v>
      </c>
      <c r="B172" s="116"/>
      <c r="C172" s="116"/>
      <c r="D172" s="118"/>
      <c r="E172" s="118">
        <f t="shared" si="13"/>
        <v>0</v>
      </c>
      <c r="F172" s="118"/>
      <c r="G172" s="118">
        <f t="shared" si="14"/>
        <v>0</v>
      </c>
      <c r="H172" s="118">
        <f t="shared" si="15"/>
        <v>0</v>
      </c>
    </row>
    <row r="173" spans="1:8" ht="12.75">
      <c r="A173" s="120" t="s">
        <v>30</v>
      </c>
      <c r="B173" s="116"/>
      <c r="C173" s="116"/>
      <c r="D173" s="118"/>
      <c r="E173" s="118">
        <f aca="true" t="shared" si="16" ref="E173:E204">IF(C173&gt;0,D173/C173,0)*100</f>
        <v>0</v>
      </c>
      <c r="F173" s="118"/>
      <c r="G173" s="118">
        <f aca="true" t="shared" si="17" ref="G173:G204">IF(C173&gt;0,F173/C173,0)*100</f>
        <v>0</v>
      </c>
      <c r="H173" s="118">
        <f aca="true" t="shared" si="18" ref="H173:H204">C173-F173</f>
        <v>0</v>
      </c>
    </row>
    <row r="174" spans="1:8" ht="12.75">
      <c r="A174" s="120" t="s">
        <v>21</v>
      </c>
      <c r="B174" s="116"/>
      <c r="C174" s="116"/>
      <c r="D174" s="118"/>
      <c r="E174" s="118">
        <f t="shared" si="16"/>
        <v>0</v>
      </c>
      <c r="F174" s="118"/>
      <c r="G174" s="118">
        <f t="shared" si="17"/>
        <v>0</v>
      </c>
      <c r="H174" s="118">
        <f t="shared" si="18"/>
        <v>0</v>
      </c>
    </row>
    <row r="175" spans="1:8" ht="12.75">
      <c r="A175" s="120" t="s">
        <v>692</v>
      </c>
      <c r="B175" s="116"/>
      <c r="C175" s="116"/>
      <c r="D175" s="118"/>
      <c r="E175" s="118">
        <f t="shared" si="16"/>
        <v>0</v>
      </c>
      <c r="F175" s="118"/>
      <c r="G175" s="118">
        <f t="shared" si="17"/>
        <v>0</v>
      </c>
      <c r="H175" s="118">
        <f t="shared" si="18"/>
        <v>0</v>
      </c>
    </row>
    <row r="176" spans="1:8" ht="25.5">
      <c r="A176" s="160" t="s">
        <v>707</v>
      </c>
      <c r="B176" s="116"/>
      <c r="C176" s="116"/>
      <c r="D176" s="118"/>
      <c r="E176" s="118">
        <f t="shared" si="16"/>
        <v>0</v>
      </c>
      <c r="F176" s="118"/>
      <c r="G176" s="118">
        <f t="shared" si="17"/>
        <v>0</v>
      </c>
      <c r="H176" s="118">
        <f t="shared" si="18"/>
        <v>0</v>
      </c>
    </row>
    <row r="177" spans="1:8" ht="12.75">
      <c r="A177" s="120" t="s">
        <v>22</v>
      </c>
      <c r="B177" s="116">
        <f>SUM(B178:B181)</f>
        <v>1780000</v>
      </c>
      <c r="C177" s="116">
        <f>SUM(C178:C181)</f>
        <v>1780000</v>
      </c>
      <c r="D177" s="118">
        <f>SUM(D178:D181)</f>
        <v>102131.54</v>
      </c>
      <c r="E177" s="118">
        <f t="shared" si="16"/>
        <v>5.737726966292135</v>
      </c>
      <c r="F177" s="118">
        <f>SUM(F178:F181)</f>
        <v>102131.54</v>
      </c>
      <c r="G177" s="118">
        <f t="shared" si="17"/>
        <v>5.737726966292135</v>
      </c>
      <c r="H177" s="118">
        <f t="shared" si="18"/>
        <v>1677868.46</v>
      </c>
    </row>
    <row r="178" spans="1:8" ht="12.75">
      <c r="A178" s="120" t="s">
        <v>693</v>
      </c>
      <c r="B178" s="116"/>
      <c r="C178" s="116"/>
      <c r="D178" s="118"/>
      <c r="E178" s="118">
        <f t="shared" si="16"/>
        <v>0</v>
      </c>
      <c r="F178" s="118"/>
      <c r="G178" s="118">
        <f t="shared" si="17"/>
        <v>0</v>
      </c>
      <c r="H178" s="118">
        <f t="shared" si="18"/>
        <v>0</v>
      </c>
    </row>
    <row r="179" spans="1:8" ht="12.75">
      <c r="A179" s="120" t="s">
        <v>694</v>
      </c>
      <c r="B179" s="116">
        <v>1780000</v>
      </c>
      <c r="C179" s="116">
        <v>1780000</v>
      </c>
      <c r="D179" s="118">
        <v>102131.54</v>
      </c>
      <c r="E179" s="118">
        <f t="shared" si="16"/>
        <v>5.737726966292135</v>
      </c>
      <c r="F179" s="118">
        <v>102131.54</v>
      </c>
      <c r="G179" s="118">
        <f t="shared" si="17"/>
        <v>5.737726966292135</v>
      </c>
      <c r="H179" s="118">
        <f t="shared" si="18"/>
        <v>1677868.46</v>
      </c>
    </row>
    <row r="180" spans="1:8" ht="25.5">
      <c r="A180" s="115" t="s">
        <v>719</v>
      </c>
      <c r="B180" s="116"/>
      <c r="C180" s="116"/>
      <c r="D180" s="118"/>
      <c r="E180" s="118">
        <f t="shared" si="16"/>
        <v>0</v>
      </c>
      <c r="F180" s="118"/>
      <c r="G180" s="118">
        <f t="shared" si="17"/>
        <v>0</v>
      </c>
      <c r="H180" s="118">
        <f t="shared" si="18"/>
        <v>0</v>
      </c>
    </row>
    <row r="181" spans="1:8" ht="12.75">
      <c r="A181" s="115" t="s">
        <v>93</v>
      </c>
      <c r="B181" s="116"/>
      <c r="C181" s="116"/>
      <c r="D181" s="118"/>
      <c r="E181" s="118">
        <f t="shared" si="16"/>
        <v>0</v>
      </c>
      <c r="F181" s="118"/>
      <c r="G181" s="118">
        <f t="shared" si="17"/>
        <v>0</v>
      </c>
      <c r="H181" s="118">
        <f t="shared" si="18"/>
        <v>0</v>
      </c>
    </row>
    <row r="182" spans="1:8" ht="12.75">
      <c r="A182" s="120" t="s">
        <v>23</v>
      </c>
      <c r="B182" s="116">
        <f>B183+B186+B191+B200</f>
        <v>0</v>
      </c>
      <c r="C182" s="116">
        <f>C183+C186+C191+C200</f>
        <v>0</v>
      </c>
      <c r="D182" s="118">
        <f>D183+D186+D191+D200</f>
        <v>0</v>
      </c>
      <c r="E182" s="118">
        <f t="shared" si="16"/>
        <v>0</v>
      </c>
      <c r="F182" s="118">
        <f>F183+F186+F191+F200</f>
        <v>0</v>
      </c>
      <c r="G182" s="118">
        <f t="shared" si="17"/>
        <v>0</v>
      </c>
      <c r="H182" s="118">
        <f t="shared" si="18"/>
        <v>0</v>
      </c>
    </row>
    <row r="183" spans="1:8" ht="12.75">
      <c r="A183" s="120" t="s">
        <v>24</v>
      </c>
      <c r="B183" s="116">
        <f>SUM(B184:B185)</f>
        <v>0</v>
      </c>
      <c r="C183" s="116">
        <f>SUM(C184:C185)</f>
        <v>0</v>
      </c>
      <c r="D183" s="118">
        <f>SUM(D184:D185)</f>
        <v>0</v>
      </c>
      <c r="E183" s="118">
        <f t="shared" si="16"/>
        <v>0</v>
      </c>
      <c r="F183" s="118">
        <f>SUM(F184:F185)</f>
        <v>0</v>
      </c>
      <c r="G183" s="118">
        <f t="shared" si="17"/>
        <v>0</v>
      </c>
      <c r="H183" s="118">
        <f t="shared" si="18"/>
        <v>0</v>
      </c>
    </row>
    <row r="184" spans="1:8" ht="12.75">
      <c r="A184" s="120" t="s">
        <v>695</v>
      </c>
      <c r="B184" s="116"/>
      <c r="C184" s="116"/>
      <c r="D184" s="118"/>
      <c r="E184" s="118">
        <f t="shared" si="16"/>
        <v>0</v>
      </c>
      <c r="F184" s="118"/>
      <c r="G184" s="118">
        <f t="shared" si="17"/>
        <v>0</v>
      </c>
      <c r="H184" s="118">
        <f t="shared" si="18"/>
        <v>0</v>
      </c>
    </row>
    <row r="185" spans="1:8" ht="12.75">
      <c r="A185" s="120" t="s">
        <v>696</v>
      </c>
      <c r="B185" s="116"/>
      <c r="C185" s="116"/>
      <c r="D185" s="118"/>
      <c r="E185" s="118">
        <f t="shared" si="16"/>
        <v>0</v>
      </c>
      <c r="F185" s="118"/>
      <c r="G185" s="118">
        <f t="shared" si="17"/>
        <v>0</v>
      </c>
      <c r="H185" s="118">
        <f t="shared" si="18"/>
        <v>0</v>
      </c>
    </row>
    <row r="186" spans="1:8" ht="12.75">
      <c r="A186" s="120" t="s">
        <v>25</v>
      </c>
      <c r="B186" s="116">
        <f>SUM(B187:B190)</f>
        <v>0</v>
      </c>
      <c r="C186" s="116">
        <f>SUM(C187:C190)</f>
        <v>0</v>
      </c>
      <c r="D186" s="118">
        <f>SUM(D187:D190)</f>
        <v>0</v>
      </c>
      <c r="E186" s="118">
        <f t="shared" si="16"/>
        <v>0</v>
      </c>
      <c r="F186" s="118">
        <f>SUM(F187:F190)</f>
        <v>0</v>
      </c>
      <c r="G186" s="118">
        <f t="shared" si="17"/>
        <v>0</v>
      </c>
      <c r="H186" s="118">
        <f t="shared" si="18"/>
        <v>0</v>
      </c>
    </row>
    <row r="187" spans="1:8" ht="12.75">
      <c r="A187" s="120" t="s">
        <v>26</v>
      </c>
      <c r="B187" s="116"/>
      <c r="C187" s="116"/>
      <c r="D187" s="118"/>
      <c r="E187" s="118">
        <f t="shared" si="16"/>
        <v>0</v>
      </c>
      <c r="F187" s="118"/>
      <c r="G187" s="118">
        <f t="shared" si="17"/>
        <v>0</v>
      </c>
      <c r="H187" s="118">
        <f t="shared" si="18"/>
        <v>0</v>
      </c>
    </row>
    <row r="188" spans="1:8" ht="12.75">
      <c r="A188" s="120" t="s">
        <v>27</v>
      </c>
      <c r="B188" s="116"/>
      <c r="C188" s="116"/>
      <c r="D188" s="118"/>
      <c r="E188" s="118">
        <f t="shared" si="16"/>
        <v>0</v>
      </c>
      <c r="F188" s="118"/>
      <c r="G188" s="118">
        <f t="shared" si="17"/>
        <v>0</v>
      </c>
      <c r="H188" s="118">
        <f t="shared" si="18"/>
        <v>0</v>
      </c>
    </row>
    <row r="189" spans="1:8" ht="12.75">
      <c r="A189" s="120" t="s">
        <v>697</v>
      </c>
      <c r="B189" s="116"/>
      <c r="C189" s="116"/>
      <c r="D189" s="118"/>
      <c r="E189" s="118">
        <f t="shared" si="16"/>
        <v>0</v>
      </c>
      <c r="F189" s="118"/>
      <c r="G189" s="118">
        <f t="shared" si="17"/>
        <v>0</v>
      </c>
      <c r="H189" s="118">
        <f t="shared" si="18"/>
        <v>0</v>
      </c>
    </row>
    <row r="190" spans="1:8" ht="12.75">
      <c r="A190" s="120" t="s">
        <v>28</v>
      </c>
      <c r="B190" s="116"/>
      <c r="C190" s="116"/>
      <c r="D190" s="118"/>
      <c r="E190" s="118">
        <f t="shared" si="16"/>
        <v>0</v>
      </c>
      <c r="F190" s="118"/>
      <c r="G190" s="118">
        <f t="shared" si="17"/>
        <v>0</v>
      </c>
      <c r="H190" s="118">
        <f t="shared" si="18"/>
        <v>0</v>
      </c>
    </row>
    <row r="191" spans="1:8" ht="12.75">
      <c r="A191" s="120" t="s">
        <v>29</v>
      </c>
      <c r="B191" s="116">
        <f>SUM(B192:B199)</f>
        <v>0</v>
      </c>
      <c r="C191" s="116">
        <f>SUM(C192:C199)</f>
        <v>0</v>
      </c>
      <c r="D191" s="118">
        <f>SUM(D192:D199)</f>
        <v>0</v>
      </c>
      <c r="E191" s="118">
        <f t="shared" si="16"/>
        <v>0</v>
      </c>
      <c r="F191" s="118">
        <f>SUM(F192:F199)</f>
        <v>0</v>
      </c>
      <c r="G191" s="118">
        <f t="shared" si="17"/>
        <v>0</v>
      </c>
      <c r="H191" s="118">
        <f t="shared" si="18"/>
        <v>0</v>
      </c>
    </row>
    <row r="192" spans="1:8" ht="12.75">
      <c r="A192" s="120" t="s">
        <v>698</v>
      </c>
      <c r="B192" s="116"/>
      <c r="C192" s="116"/>
      <c r="D192" s="118"/>
      <c r="E192" s="118">
        <f t="shared" si="16"/>
        <v>0</v>
      </c>
      <c r="F192" s="118"/>
      <c r="G192" s="118">
        <f t="shared" si="17"/>
        <v>0</v>
      </c>
      <c r="H192" s="118">
        <f t="shared" si="18"/>
        <v>0</v>
      </c>
    </row>
    <row r="193" spans="1:8" ht="26.25" customHeight="1">
      <c r="A193" s="115" t="s">
        <v>720</v>
      </c>
      <c r="B193" s="116"/>
      <c r="C193" s="116"/>
      <c r="D193" s="118"/>
      <c r="E193" s="118">
        <f t="shared" si="16"/>
        <v>0</v>
      </c>
      <c r="F193" s="118"/>
      <c r="G193" s="118">
        <f t="shared" si="17"/>
        <v>0</v>
      </c>
      <c r="H193" s="118">
        <f t="shared" si="18"/>
        <v>0</v>
      </c>
    </row>
    <row r="194" spans="1:8" ht="12.75">
      <c r="A194" s="120" t="s">
        <v>691</v>
      </c>
      <c r="B194" s="116"/>
      <c r="C194" s="116"/>
      <c r="D194" s="118"/>
      <c r="E194" s="118">
        <f t="shared" si="16"/>
        <v>0</v>
      </c>
      <c r="F194" s="118"/>
      <c r="G194" s="118">
        <f t="shared" si="17"/>
        <v>0</v>
      </c>
      <c r="H194" s="118">
        <f t="shared" si="18"/>
        <v>0</v>
      </c>
    </row>
    <row r="195" spans="1:8" ht="12.75">
      <c r="A195" s="120" t="s">
        <v>20</v>
      </c>
      <c r="B195" s="116"/>
      <c r="C195" s="116"/>
      <c r="D195" s="118"/>
      <c r="E195" s="118">
        <f t="shared" si="16"/>
        <v>0</v>
      </c>
      <c r="F195" s="118"/>
      <c r="G195" s="118">
        <f t="shared" si="17"/>
        <v>0</v>
      </c>
      <c r="H195" s="118">
        <f t="shared" si="18"/>
        <v>0</v>
      </c>
    </row>
    <row r="196" spans="1:8" ht="12.75">
      <c r="A196" s="126" t="s">
        <v>30</v>
      </c>
      <c r="B196" s="116"/>
      <c r="C196" s="116"/>
      <c r="D196" s="118"/>
      <c r="E196" s="118">
        <f t="shared" si="16"/>
        <v>0</v>
      </c>
      <c r="F196" s="118"/>
      <c r="G196" s="118">
        <f t="shared" si="17"/>
        <v>0</v>
      </c>
      <c r="H196" s="118">
        <f t="shared" si="18"/>
        <v>0</v>
      </c>
    </row>
    <row r="197" spans="1:8" ht="12.75">
      <c r="A197" s="126" t="s">
        <v>21</v>
      </c>
      <c r="B197" s="116"/>
      <c r="C197" s="116"/>
      <c r="D197" s="118"/>
      <c r="E197" s="118">
        <f t="shared" si="16"/>
        <v>0</v>
      </c>
      <c r="F197" s="118"/>
      <c r="G197" s="118">
        <f t="shared" si="17"/>
        <v>0</v>
      </c>
      <c r="H197" s="118">
        <f t="shared" si="18"/>
        <v>0</v>
      </c>
    </row>
    <row r="198" spans="1:8" ht="12.75">
      <c r="A198" s="120" t="s">
        <v>692</v>
      </c>
      <c r="B198" s="116"/>
      <c r="C198" s="116"/>
      <c r="D198" s="118"/>
      <c r="E198" s="118">
        <f t="shared" si="16"/>
        <v>0</v>
      </c>
      <c r="F198" s="118"/>
      <c r="G198" s="118">
        <f t="shared" si="17"/>
        <v>0</v>
      </c>
      <c r="H198" s="118">
        <f t="shared" si="18"/>
        <v>0</v>
      </c>
    </row>
    <row r="199" spans="1:8" ht="25.5">
      <c r="A199" s="126" t="s">
        <v>721</v>
      </c>
      <c r="B199" s="116"/>
      <c r="C199" s="116"/>
      <c r="D199" s="118"/>
      <c r="E199" s="118">
        <f t="shared" si="16"/>
        <v>0</v>
      </c>
      <c r="F199" s="118"/>
      <c r="G199" s="118">
        <f t="shared" si="17"/>
        <v>0</v>
      </c>
      <c r="H199" s="118">
        <f t="shared" si="18"/>
        <v>0</v>
      </c>
    </row>
    <row r="200" spans="1:8" ht="12.75">
      <c r="A200" s="158" t="s">
        <v>31</v>
      </c>
      <c r="B200" s="116">
        <f>SUM(B201:B205)</f>
        <v>0</v>
      </c>
      <c r="C200" s="116">
        <f>SUM(C201:C205)</f>
        <v>0</v>
      </c>
      <c r="D200" s="118">
        <f>SUM(D201:D205)</f>
        <v>0</v>
      </c>
      <c r="E200" s="118">
        <f t="shared" si="16"/>
        <v>0</v>
      </c>
      <c r="F200" s="118">
        <f>SUM(F201:F205)</f>
        <v>0</v>
      </c>
      <c r="G200" s="118">
        <f t="shared" si="17"/>
        <v>0</v>
      </c>
      <c r="H200" s="118">
        <f t="shared" si="18"/>
        <v>0</v>
      </c>
    </row>
    <row r="201" spans="1:8" ht="12.75">
      <c r="A201" s="158" t="s">
        <v>32</v>
      </c>
      <c r="B201" s="116"/>
      <c r="C201" s="116"/>
      <c r="D201" s="118"/>
      <c r="E201" s="118">
        <f t="shared" si="16"/>
        <v>0</v>
      </c>
      <c r="F201" s="118"/>
      <c r="G201" s="118">
        <f t="shared" si="17"/>
        <v>0</v>
      </c>
      <c r="H201" s="118">
        <f t="shared" si="18"/>
        <v>0</v>
      </c>
    </row>
    <row r="202" spans="1:8" ht="12.75">
      <c r="A202" s="159" t="s">
        <v>699</v>
      </c>
      <c r="B202" s="116"/>
      <c r="C202" s="116"/>
      <c r="D202" s="118"/>
      <c r="E202" s="118">
        <f t="shared" si="16"/>
        <v>0</v>
      </c>
      <c r="F202" s="118"/>
      <c r="G202" s="118">
        <f t="shared" si="17"/>
        <v>0</v>
      </c>
      <c r="H202" s="118">
        <f t="shared" si="18"/>
        <v>0</v>
      </c>
    </row>
    <row r="203" spans="1:8" ht="12.75">
      <c r="A203" s="159" t="s">
        <v>712</v>
      </c>
      <c r="B203" s="116"/>
      <c r="C203" s="116"/>
      <c r="D203" s="118"/>
      <c r="E203" s="118">
        <f t="shared" si="16"/>
        <v>0</v>
      </c>
      <c r="F203" s="118"/>
      <c r="G203" s="118">
        <f t="shared" si="17"/>
        <v>0</v>
      </c>
      <c r="H203" s="118">
        <f t="shared" si="18"/>
        <v>0</v>
      </c>
    </row>
    <row r="204" spans="1:8" ht="12.75">
      <c r="A204" s="161" t="s">
        <v>713</v>
      </c>
      <c r="B204" s="133"/>
      <c r="C204" s="133"/>
      <c r="D204" s="133"/>
      <c r="E204" s="133">
        <f t="shared" si="16"/>
        <v>0</v>
      </c>
      <c r="F204" s="133"/>
      <c r="G204" s="133">
        <f t="shared" si="17"/>
        <v>0</v>
      </c>
      <c r="H204" s="133">
        <f t="shared" si="18"/>
        <v>0</v>
      </c>
    </row>
    <row r="205" spans="1:8" ht="12.75">
      <c r="A205" s="162"/>
      <c r="B205" s="156"/>
      <c r="C205" s="156"/>
      <c r="D205" s="156"/>
      <c r="E205" s="156"/>
      <c r="F205" s="156"/>
      <c r="G205" s="156"/>
      <c r="H205" s="156"/>
    </row>
    <row r="206" spans="1:8" ht="12.75">
      <c r="A206" s="162"/>
      <c r="B206" s="156"/>
      <c r="C206" s="156"/>
      <c r="D206" s="156"/>
      <c r="E206" s="156"/>
      <c r="F206" s="156"/>
      <c r="G206" s="156"/>
      <c r="H206" s="156"/>
    </row>
    <row r="207" spans="1:8" ht="12.75">
      <c r="A207" s="162"/>
      <c r="B207" s="156"/>
      <c r="C207" s="156"/>
      <c r="D207" s="156"/>
      <c r="E207" s="156"/>
      <c r="F207" s="156"/>
      <c r="G207" s="156"/>
      <c r="H207" s="156"/>
    </row>
    <row r="208" spans="1:8" ht="12.75">
      <c r="A208" s="162"/>
      <c r="B208" s="156"/>
      <c r="C208" s="156"/>
      <c r="D208" s="156"/>
      <c r="E208" s="156"/>
      <c r="F208" s="156"/>
      <c r="G208" s="156"/>
      <c r="H208" s="156"/>
    </row>
    <row r="209" s="110" customFormat="1" ht="12.75">
      <c r="M209" s="103"/>
    </row>
    <row r="210" spans="1:11" ht="12.75" customHeight="1">
      <c r="A210" s="276"/>
      <c r="B210" s="524" t="s">
        <v>103</v>
      </c>
      <c r="C210" s="524" t="s">
        <v>103</v>
      </c>
      <c r="D210" s="731" t="s">
        <v>104</v>
      </c>
      <c r="E210" s="732"/>
      <c r="F210" s="525" t="s">
        <v>107</v>
      </c>
      <c r="G210" s="731" t="s">
        <v>105</v>
      </c>
      <c r="H210" s="733"/>
      <c r="I210" s="525" t="s">
        <v>107</v>
      </c>
      <c r="J210" s="734" t="s">
        <v>813</v>
      </c>
      <c r="K210" s="728" t="s">
        <v>588</v>
      </c>
    </row>
    <row r="211" spans="1:11" ht="28.5" customHeight="1">
      <c r="A211" s="114" t="s">
        <v>581</v>
      </c>
      <c r="B211" s="528" t="s">
        <v>74</v>
      </c>
      <c r="C211" s="528" t="s">
        <v>75</v>
      </c>
      <c r="D211" s="529" t="str">
        <f>D139</f>
        <v>No Bimestre</v>
      </c>
      <c r="E211" s="530" t="str">
        <f>F139</f>
        <v>Até o  Bimestre</v>
      </c>
      <c r="F211" s="529"/>
      <c r="G211" s="529" t="str">
        <f>D211</f>
        <v>No Bimestre</v>
      </c>
      <c r="H211" s="530" t="str">
        <f>E211</f>
        <v>Até o  Bimestre</v>
      </c>
      <c r="I211" s="529"/>
      <c r="J211" s="735"/>
      <c r="K211" s="729"/>
    </row>
    <row r="212" spans="1:11" ht="25.5" customHeight="1">
      <c r="A212" s="531"/>
      <c r="B212" s="532" t="s">
        <v>108</v>
      </c>
      <c r="C212" s="532" t="s">
        <v>109</v>
      </c>
      <c r="D212" s="532"/>
      <c r="E212" s="532" t="s">
        <v>190</v>
      </c>
      <c r="F212" s="533" t="s">
        <v>585</v>
      </c>
      <c r="G212" s="534"/>
      <c r="H212" s="534" t="s">
        <v>111</v>
      </c>
      <c r="I212" s="533" t="s">
        <v>586</v>
      </c>
      <c r="J212" s="534" t="s">
        <v>326</v>
      </c>
      <c r="K212" s="730"/>
    </row>
    <row r="213" spans="1:11" ht="12.75">
      <c r="A213" s="163" t="s">
        <v>574</v>
      </c>
      <c r="B213" s="164">
        <f>B214+B218+B222</f>
        <v>102125100</v>
      </c>
      <c r="C213" s="119">
        <f>C214+C218+C222</f>
        <v>102295220</v>
      </c>
      <c r="D213" s="164">
        <f>D214+D218+D222</f>
        <v>16331647.7</v>
      </c>
      <c r="E213" s="119">
        <f>E214+E218+E222</f>
        <v>16331647.7</v>
      </c>
      <c r="F213" s="164">
        <f aca="true" t="shared" si="19" ref="F213:F222">C213-E213</f>
        <v>85963572.3</v>
      </c>
      <c r="G213" s="119">
        <f>G214+G218+G222</f>
        <v>14400302.11</v>
      </c>
      <c r="H213" s="164">
        <f>H214+H218+H222</f>
        <v>14400302.11</v>
      </c>
      <c r="I213" s="119">
        <f aca="true" t="shared" si="20" ref="I213:I222">C213-H213</f>
        <v>87894917.89</v>
      </c>
      <c r="J213" s="119">
        <f>J214+J218+J222</f>
        <v>7329606.77</v>
      </c>
      <c r="K213" s="149">
        <f>K214+K218+K222</f>
        <v>0</v>
      </c>
    </row>
    <row r="214" spans="1:11" ht="12.75">
      <c r="A214" s="165" t="s">
        <v>57</v>
      </c>
      <c r="B214" s="166">
        <f>SUM(B215:B217)</f>
        <v>102125100</v>
      </c>
      <c r="C214" s="118">
        <f>SUM(C215:C217)</f>
        <v>102295220</v>
      </c>
      <c r="D214" s="166">
        <f>SUM(D215:D217)</f>
        <v>16331647.7</v>
      </c>
      <c r="E214" s="118">
        <f>SUM(E215:E217)</f>
        <v>16331647.7</v>
      </c>
      <c r="F214" s="166">
        <f t="shared" si="19"/>
        <v>85963572.3</v>
      </c>
      <c r="G214" s="118">
        <f>SUM(G215:G217)</f>
        <v>14400302.11</v>
      </c>
      <c r="H214" s="166">
        <f>SUM(H215:H217)</f>
        <v>14400302.11</v>
      </c>
      <c r="I214" s="118">
        <f t="shared" si="20"/>
        <v>87894917.89</v>
      </c>
      <c r="J214" s="118">
        <f>SUM(J215:J217)</f>
        <v>7329606.77</v>
      </c>
      <c r="K214" s="149">
        <f>SUM(K215:K217)</f>
        <v>0</v>
      </c>
    </row>
    <row r="215" spans="1:11" ht="12.75">
      <c r="A215" s="165" t="s">
        <v>58</v>
      </c>
      <c r="B215" s="166">
        <v>56928000</v>
      </c>
      <c r="C215" s="118">
        <v>57038000</v>
      </c>
      <c r="D215" s="166">
        <v>8223957.62</v>
      </c>
      <c r="E215" s="118">
        <v>8223957.62</v>
      </c>
      <c r="F215" s="166">
        <f t="shared" si="19"/>
        <v>48814042.38</v>
      </c>
      <c r="G215" s="118">
        <v>8055197.54</v>
      </c>
      <c r="H215" s="166">
        <v>8055197.54</v>
      </c>
      <c r="I215" s="118">
        <f t="shared" si="20"/>
        <v>48982802.46</v>
      </c>
      <c r="J215" s="118">
        <v>4285190.38</v>
      </c>
      <c r="K215" s="149"/>
    </row>
    <row r="216" spans="1:11" ht="12.75">
      <c r="A216" s="165" t="s">
        <v>59</v>
      </c>
      <c r="B216" s="166"/>
      <c r="C216" s="118"/>
      <c r="D216" s="166"/>
      <c r="E216" s="118"/>
      <c r="F216" s="166">
        <f t="shared" si="19"/>
        <v>0</v>
      </c>
      <c r="G216" s="118"/>
      <c r="H216" s="166"/>
      <c r="I216" s="118">
        <f t="shared" si="20"/>
        <v>0</v>
      </c>
      <c r="J216" s="118"/>
      <c r="K216" s="149"/>
    </row>
    <row r="217" spans="1:11" ht="12.75">
      <c r="A217" s="165" t="s">
        <v>60</v>
      </c>
      <c r="B217" s="166">
        <v>45197100</v>
      </c>
      <c r="C217" s="118">
        <v>45257220</v>
      </c>
      <c r="D217" s="166">
        <v>8107690.08</v>
      </c>
      <c r="E217" s="118">
        <v>8107690.08</v>
      </c>
      <c r="F217" s="166">
        <f t="shared" si="19"/>
        <v>37149529.92</v>
      </c>
      <c r="G217" s="118">
        <v>6345104.57</v>
      </c>
      <c r="H217" s="166">
        <v>6345104.57</v>
      </c>
      <c r="I217" s="118">
        <f t="shared" si="20"/>
        <v>38912115.43</v>
      </c>
      <c r="J217" s="118">
        <v>3044416.39</v>
      </c>
      <c r="K217" s="149"/>
    </row>
    <row r="218" spans="1:11" ht="12.75">
      <c r="A218" s="165" t="s">
        <v>61</v>
      </c>
      <c r="B218" s="166">
        <f>SUM(B219:B222)</f>
        <v>0</v>
      </c>
      <c r="C218" s="118">
        <f>SUM(C219:C222)</f>
        <v>0</v>
      </c>
      <c r="D218" s="166">
        <f>SUM(D219:D222)</f>
        <v>0</v>
      </c>
      <c r="E218" s="118">
        <f>SUM(E219:E222)</f>
        <v>0</v>
      </c>
      <c r="F218" s="166">
        <f t="shared" si="19"/>
        <v>0</v>
      </c>
      <c r="G218" s="118">
        <f>SUM(G219:G222)</f>
        <v>0</v>
      </c>
      <c r="H218" s="166">
        <f>SUM(H219:H222)</f>
        <v>0</v>
      </c>
      <c r="I218" s="118">
        <f t="shared" si="20"/>
        <v>0</v>
      </c>
      <c r="J218" s="118">
        <f>SUM(J219:J222)</f>
        <v>0</v>
      </c>
      <c r="K218" s="149">
        <f>SUM(K219:K222)</f>
        <v>0</v>
      </c>
    </row>
    <row r="219" spans="1:11" ht="12.75">
      <c r="A219" s="165" t="s">
        <v>62</v>
      </c>
      <c r="B219" s="166"/>
      <c r="C219" s="118"/>
      <c r="D219" s="166"/>
      <c r="E219" s="118"/>
      <c r="F219" s="166">
        <f t="shared" si="19"/>
        <v>0</v>
      </c>
      <c r="G219" s="118"/>
      <c r="H219" s="166"/>
      <c r="I219" s="118">
        <f t="shared" si="20"/>
        <v>0</v>
      </c>
      <c r="J219" s="118"/>
      <c r="K219" s="149"/>
    </row>
    <row r="220" spans="1:11" ht="11.25" customHeight="1">
      <c r="A220" s="165" t="s">
        <v>63</v>
      </c>
      <c r="B220" s="166"/>
      <c r="C220" s="118"/>
      <c r="D220" s="166"/>
      <c r="E220" s="118"/>
      <c r="F220" s="166">
        <f t="shared" si="19"/>
        <v>0</v>
      </c>
      <c r="G220" s="118"/>
      <c r="H220" s="166"/>
      <c r="I220" s="118">
        <f t="shared" si="20"/>
        <v>0</v>
      </c>
      <c r="J220" s="118"/>
      <c r="K220" s="149"/>
    </row>
    <row r="221" spans="1:11" ht="11.25" customHeight="1">
      <c r="A221" s="165" t="s">
        <v>64</v>
      </c>
      <c r="B221" s="20"/>
      <c r="C221" s="21"/>
      <c r="D221" s="21"/>
      <c r="E221" s="21"/>
      <c r="F221" s="20">
        <f t="shared" si="19"/>
        <v>0</v>
      </c>
      <c r="G221" s="21"/>
      <c r="H221" s="20"/>
      <c r="I221" s="21">
        <f t="shared" si="20"/>
        <v>0</v>
      </c>
      <c r="J221" s="17"/>
      <c r="K221" s="21"/>
    </row>
    <row r="222" spans="1:11" ht="11.25" customHeight="1">
      <c r="A222" s="167" t="s">
        <v>65</v>
      </c>
      <c r="B222" s="168"/>
      <c r="C222" s="77"/>
      <c r="D222" s="77"/>
      <c r="E222" s="77"/>
      <c r="F222" s="168">
        <f t="shared" si="19"/>
        <v>0</v>
      </c>
      <c r="G222" s="77"/>
      <c r="H222" s="168"/>
      <c r="I222" s="77">
        <f t="shared" si="20"/>
        <v>0</v>
      </c>
      <c r="J222" s="80"/>
      <c r="K222" s="77"/>
    </row>
    <row r="223" ht="11.25" customHeight="1">
      <c r="A223" s="110" t="str">
        <f>A132</f>
        <v>FONTE: Sistema CECAM, Unidade Responsável: CONTABILIDADE. Emissão: 22/03/2021, às 07:27:47. Assinado Digitalmente no dia 22/03/2021, às 07:27:47.</v>
      </c>
    </row>
    <row r="224" ht="11.25" customHeight="1">
      <c r="A224" s="110" t="str">
        <f>A133</f>
        <v>1 Essa coluna poderá ser apresentada somente no último bimestre</v>
      </c>
    </row>
    <row r="227" spans="1:11" ht="11.25" customHeight="1">
      <c r="A227" s="518" t="s">
        <v>1055</v>
      </c>
      <c r="B227" s="519"/>
      <c r="C227" s="519"/>
      <c r="D227" s="519" t="s">
        <v>1057</v>
      </c>
      <c r="E227" s="519"/>
      <c r="F227" s="520"/>
      <c r="G227" s="520"/>
      <c r="H227" s="738" t="s">
        <v>1059</v>
      </c>
      <c r="I227" s="738"/>
      <c r="J227" s="521"/>
      <c r="K227" s="522"/>
    </row>
    <row r="228" spans="1:11" ht="11.25" customHeight="1">
      <c r="A228" s="518" t="s">
        <v>1056</v>
      </c>
      <c r="B228" s="520"/>
      <c r="C228" s="520"/>
      <c r="D228" s="519" t="s">
        <v>1058</v>
      </c>
      <c r="E228" s="519"/>
      <c r="F228" s="520"/>
      <c r="G228" s="520"/>
      <c r="H228" s="518" t="s">
        <v>1060</v>
      </c>
      <c r="I228" s="519"/>
      <c r="J228" s="521"/>
      <c r="K228" s="522"/>
    </row>
    <row r="229" spans="1:11" ht="11.25" customHeight="1">
      <c r="A229" s="522"/>
      <c r="B229" s="522"/>
      <c r="C229" s="522"/>
      <c r="D229" s="522" t="s">
        <v>1073</v>
      </c>
      <c r="E229" s="522"/>
      <c r="F229" s="522"/>
      <c r="G229" s="522"/>
      <c r="H229" s="739" t="s">
        <v>1074</v>
      </c>
      <c r="I229" s="739"/>
      <c r="J229" s="523"/>
      <c r="K229" s="523"/>
    </row>
  </sheetData>
  <sheetProtection/>
  <mergeCells count="15">
    <mergeCell ref="H227:I227"/>
    <mergeCell ref="H229:I229"/>
    <mergeCell ref="D106:E106"/>
    <mergeCell ref="G106:H106"/>
    <mergeCell ref="J106:J107"/>
    <mergeCell ref="B19:B21"/>
    <mergeCell ref="D19:G19"/>
    <mergeCell ref="B138:B140"/>
    <mergeCell ref="D138:G138"/>
    <mergeCell ref="K210:K212"/>
    <mergeCell ref="K106:K108"/>
    <mergeCell ref="D210:E210"/>
    <mergeCell ref="G210:H210"/>
    <mergeCell ref="J210:J211"/>
    <mergeCell ref="A132:K1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1" sqref="A1"/>
    </sheetView>
  </sheetViews>
  <sheetFormatPr defaultColWidth="22.28125" defaultRowHeight="11.25" customHeight="1"/>
  <cols>
    <col min="1" max="1" width="48.00390625" style="348" customWidth="1"/>
    <col min="2" max="7" width="21.140625" style="348" customWidth="1"/>
    <col min="8" max="8" width="21.140625" style="350" customWidth="1"/>
    <col min="9" max="16384" width="22.28125" style="348" customWidth="1"/>
  </cols>
  <sheetData>
    <row r="1" spans="1:8" s="345" customFormat="1" ht="12.75">
      <c r="A1" s="344"/>
      <c r="H1" s="346"/>
    </row>
    <row r="2" spans="1:8" s="345" customFormat="1" ht="25.5" customHeight="1">
      <c r="A2" s="510" t="s">
        <v>1050</v>
      </c>
      <c r="H2" s="346"/>
    </row>
    <row r="3" spans="1:8" s="345" customFormat="1" ht="15.75" customHeight="1">
      <c r="A3" s="511" t="s">
        <v>1051</v>
      </c>
      <c r="H3" s="346"/>
    </row>
    <row r="4" spans="1:8" s="345" customFormat="1" ht="15.75" customHeight="1">
      <c r="A4" s="511" t="s">
        <v>1052</v>
      </c>
      <c r="H4" s="346"/>
    </row>
    <row r="5" spans="1:8" s="345" customFormat="1" ht="15.75" customHeight="1">
      <c r="A5" s="511" t="s">
        <v>1053</v>
      </c>
      <c r="H5" s="346"/>
    </row>
    <row r="6" spans="1:8" s="345" customFormat="1" ht="15.75">
      <c r="A6" s="347" t="s">
        <v>344</v>
      </c>
      <c r="B6" s="348"/>
      <c r="C6" s="348"/>
      <c r="D6" s="348"/>
      <c r="E6" s="348"/>
      <c r="F6" s="348"/>
      <c r="H6" s="346"/>
    </row>
    <row r="7" s="345" customFormat="1" ht="12.75">
      <c r="H7" s="346"/>
    </row>
    <row r="8" spans="1:6" ht="12.75">
      <c r="A8" s="512" t="s">
        <v>1050</v>
      </c>
      <c r="B8" s="349"/>
      <c r="C8" s="349"/>
      <c r="D8" s="349"/>
      <c r="E8" s="349"/>
      <c r="F8" s="349"/>
    </row>
    <row r="9" spans="1:8" s="345" customFormat="1" ht="12.75">
      <c r="A9" s="349" t="s">
        <v>68</v>
      </c>
      <c r="B9" s="349"/>
      <c r="C9" s="349"/>
      <c r="D9" s="349"/>
      <c r="E9" s="349"/>
      <c r="F9" s="349"/>
      <c r="H9" s="346"/>
    </row>
    <row r="10" spans="1:8" s="345" customFormat="1" ht="12.75">
      <c r="A10" s="351" t="s">
        <v>196</v>
      </c>
      <c r="B10" s="351"/>
      <c r="C10" s="351"/>
      <c r="D10" s="351"/>
      <c r="E10" s="351"/>
      <c r="F10" s="351"/>
      <c r="G10" s="349"/>
      <c r="H10" s="346"/>
    </row>
    <row r="11" spans="1:8" s="345" customFormat="1" ht="12.75">
      <c r="A11" s="863" t="s">
        <v>70</v>
      </c>
      <c r="B11" s="863"/>
      <c r="C11" s="863"/>
      <c r="D11" s="863"/>
      <c r="E11" s="863"/>
      <c r="F11" s="863"/>
      <c r="G11" s="349"/>
      <c r="H11" s="346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" s="345" customFormat="1" ht="12.75">
      <c r="A13" s="348" t="s">
        <v>1054</v>
      </c>
      <c r="B13" s="352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G13" s="351"/>
      <c r="H13" s="346"/>
    </row>
    <row r="14" spans="1:8" s="345" customFormat="1" ht="12.75" hidden="1">
      <c r="A14" s="863"/>
      <c r="B14" s="863"/>
      <c r="C14" s="863"/>
      <c r="D14" s="863"/>
      <c r="E14" s="863"/>
      <c r="F14" s="863"/>
      <c r="G14" s="349"/>
      <c r="H14" s="346"/>
    </row>
    <row r="15" spans="1:8" s="345" customFormat="1" ht="12.75" hidden="1">
      <c r="A15" s="863"/>
      <c r="B15" s="863"/>
      <c r="C15" s="863"/>
      <c r="D15" s="863"/>
      <c r="E15" s="863"/>
      <c r="F15" s="863"/>
      <c r="G15" s="349"/>
      <c r="H15" s="346"/>
    </row>
    <row r="16" s="345" customFormat="1" ht="12.75">
      <c r="H16" s="346"/>
    </row>
    <row r="17" spans="1:4" s="345" customFormat="1" ht="12.75">
      <c r="A17" s="353" t="s">
        <v>341</v>
      </c>
      <c r="D17" s="354" t="s">
        <v>360</v>
      </c>
    </row>
    <row r="18" spans="1:8" ht="11.25" customHeight="1">
      <c r="A18" s="861" t="s">
        <v>73</v>
      </c>
      <c r="B18" s="640" t="s">
        <v>197</v>
      </c>
      <c r="C18" s="641" t="s">
        <v>72</v>
      </c>
      <c r="D18" s="640" t="s">
        <v>107</v>
      </c>
      <c r="H18" s="348"/>
    </row>
    <row r="19" spans="1:8" ht="11.25" customHeight="1">
      <c r="A19" s="862"/>
      <c r="B19" s="642" t="s">
        <v>79</v>
      </c>
      <c r="C19" s="643" t="s">
        <v>80</v>
      </c>
      <c r="D19" s="642" t="s">
        <v>257</v>
      </c>
      <c r="H19" s="348"/>
    </row>
    <row r="20" spans="1:8" ht="11.25" customHeight="1">
      <c r="A20" s="355" t="s">
        <v>466</v>
      </c>
      <c r="B20" s="356">
        <f>B21+B22+B23+B24</f>
        <v>0</v>
      </c>
      <c r="C20" s="357">
        <f>C21+C22+C23+C24</f>
        <v>0</v>
      </c>
      <c r="D20" s="356">
        <f>B20-C20</f>
        <v>0</v>
      </c>
      <c r="H20" s="348"/>
    </row>
    <row r="21" spans="1:8" ht="11.25" customHeight="1">
      <c r="A21" s="358" t="s">
        <v>614</v>
      </c>
      <c r="B21" s="359">
        <v>0</v>
      </c>
      <c r="C21" s="359">
        <v>0</v>
      </c>
      <c r="D21" s="356">
        <f>B21-C21</f>
        <v>0</v>
      </c>
      <c r="H21" s="348"/>
    </row>
    <row r="22" spans="1:8" ht="11.25" customHeight="1">
      <c r="A22" s="358" t="s">
        <v>615</v>
      </c>
      <c r="B22" s="359">
        <v>0</v>
      </c>
      <c r="C22" s="359">
        <v>0</v>
      </c>
      <c r="D22" s="356">
        <f>B22-C22</f>
        <v>0</v>
      </c>
      <c r="H22" s="348"/>
    </row>
    <row r="23" spans="1:8" ht="11.25" customHeight="1">
      <c r="A23" s="358" t="s">
        <v>890</v>
      </c>
      <c r="B23" s="359"/>
      <c r="C23" s="359"/>
      <c r="D23" s="356">
        <f>B23-C23</f>
        <v>0</v>
      </c>
      <c r="H23" s="348"/>
    </row>
    <row r="24" spans="1:8" ht="11.25" customHeight="1">
      <c r="A24" s="358" t="s">
        <v>891</v>
      </c>
      <c r="B24" s="359">
        <v>0</v>
      </c>
      <c r="C24" s="359">
        <v>0</v>
      </c>
      <c r="D24" s="356">
        <f>B24-C24</f>
        <v>0</v>
      </c>
      <c r="H24" s="348"/>
    </row>
    <row r="25" spans="1:4" s="350" customFormat="1" ht="11.25" customHeight="1">
      <c r="A25" s="360"/>
      <c r="B25" s="361"/>
      <c r="C25" s="361"/>
      <c r="D25" s="361"/>
    </row>
    <row r="26" spans="1:8" ht="11.25" customHeight="1">
      <c r="A26" s="644"/>
      <c r="B26" s="641" t="s">
        <v>198</v>
      </c>
      <c r="C26" s="645" t="s">
        <v>472</v>
      </c>
      <c r="D26" s="640" t="s">
        <v>472</v>
      </c>
      <c r="E26" s="645" t="s">
        <v>596</v>
      </c>
      <c r="F26" s="858" t="s">
        <v>632</v>
      </c>
      <c r="G26" s="641" t="s">
        <v>593</v>
      </c>
      <c r="H26" s="640" t="s">
        <v>844</v>
      </c>
    </row>
    <row r="27" spans="1:8" ht="11.25" customHeight="1">
      <c r="A27" s="646" t="s">
        <v>106</v>
      </c>
      <c r="B27" s="647"/>
      <c r="C27" s="648" t="s">
        <v>473</v>
      </c>
      <c r="D27" s="649" t="s">
        <v>191</v>
      </c>
      <c r="E27" s="648" t="s">
        <v>595</v>
      </c>
      <c r="F27" s="859"/>
      <c r="G27" s="647" t="s">
        <v>594</v>
      </c>
      <c r="H27" s="649"/>
    </row>
    <row r="28" spans="1:8" ht="11.25" customHeight="1">
      <c r="A28" s="650"/>
      <c r="B28" s="643" t="s">
        <v>108</v>
      </c>
      <c r="C28" s="643" t="s">
        <v>109</v>
      </c>
      <c r="D28" s="642"/>
      <c r="E28" s="643" t="s">
        <v>190</v>
      </c>
      <c r="F28" s="860"/>
      <c r="G28" s="643" t="s">
        <v>110</v>
      </c>
      <c r="H28" s="642" t="s">
        <v>843</v>
      </c>
    </row>
    <row r="29" spans="1:8" ht="11.25" customHeight="1">
      <c r="A29" s="362" t="s">
        <v>98</v>
      </c>
      <c r="B29" s="359">
        <f aca="true" t="shared" si="0" ref="B29:G29">B30+B34</f>
        <v>0</v>
      </c>
      <c r="C29" s="359">
        <f t="shared" si="0"/>
        <v>0</v>
      </c>
      <c r="D29" s="359">
        <f t="shared" si="0"/>
        <v>0</v>
      </c>
      <c r="E29" s="359">
        <f t="shared" si="0"/>
        <v>0</v>
      </c>
      <c r="F29" s="359">
        <f t="shared" si="0"/>
        <v>0</v>
      </c>
      <c r="G29" s="359">
        <f t="shared" si="0"/>
        <v>0</v>
      </c>
      <c r="H29" s="356">
        <f>B29-E29</f>
        <v>0</v>
      </c>
    </row>
    <row r="30" spans="1:8" ht="11.25" customHeight="1">
      <c r="A30" s="350" t="s">
        <v>153</v>
      </c>
      <c r="B30" s="359">
        <f aca="true" t="shared" si="1" ref="B30:G30">B31+B32+B33</f>
        <v>0</v>
      </c>
      <c r="C30" s="359">
        <f t="shared" si="1"/>
        <v>0</v>
      </c>
      <c r="D30" s="359">
        <f t="shared" si="1"/>
        <v>0</v>
      </c>
      <c r="E30" s="359">
        <f t="shared" si="1"/>
        <v>0</v>
      </c>
      <c r="F30" s="359">
        <f t="shared" si="1"/>
        <v>0</v>
      </c>
      <c r="G30" s="359">
        <f t="shared" si="1"/>
        <v>0</v>
      </c>
      <c r="H30" s="356">
        <f aca="true" t="shared" si="2" ref="H30:H35">B30-C30</f>
        <v>0</v>
      </c>
    </row>
    <row r="31" spans="1:8" ht="11.25" customHeight="1">
      <c r="A31" s="350" t="s">
        <v>199</v>
      </c>
      <c r="B31" s="359">
        <v>0</v>
      </c>
      <c r="C31" s="359">
        <v>0</v>
      </c>
      <c r="D31" s="359">
        <v>0</v>
      </c>
      <c r="E31" s="359">
        <v>0</v>
      </c>
      <c r="F31" s="359"/>
      <c r="G31" s="359">
        <v>0</v>
      </c>
      <c r="H31" s="356">
        <f t="shared" si="2"/>
        <v>0</v>
      </c>
    </row>
    <row r="32" spans="1:8" ht="11.25" customHeight="1">
      <c r="A32" s="350" t="s">
        <v>200</v>
      </c>
      <c r="B32" s="359"/>
      <c r="C32" s="359"/>
      <c r="D32" s="359"/>
      <c r="E32" s="359"/>
      <c r="F32" s="359"/>
      <c r="G32" s="359"/>
      <c r="H32" s="356">
        <f t="shared" si="2"/>
        <v>0</v>
      </c>
    </row>
    <row r="33" spans="1:8" ht="11.25" customHeight="1">
      <c r="A33" s="350" t="s">
        <v>201</v>
      </c>
      <c r="B33" s="359"/>
      <c r="C33" s="359"/>
      <c r="D33" s="359"/>
      <c r="E33" s="359"/>
      <c r="F33" s="359"/>
      <c r="G33" s="359"/>
      <c r="H33" s="356">
        <f t="shared" si="2"/>
        <v>0</v>
      </c>
    </row>
    <row r="34" spans="1:8" ht="11.25" customHeight="1">
      <c r="A34" s="350" t="s">
        <v>202</v>
      </c>
      <c r="B34" s="359">
        <f aca="true" t="shared" si="3" ref="B34:G34">B35</f>
        <v>0</v>
      </c>
      <c r="C34" s="359">
        <f t="shared" si="3"/>
        <v>0</v>
      </c>
      <c r="D34" s="359">
        <f t="shared" si="3"/>
        <v>0</v>
      </c>
      <c r="E34" s="359">
        <f t="shared" si="3"/>
        <v>0</v>
      </c>
      <c r="F34" s="359">
        <f t="shared" si="3"/>
        <v>0</v>
      </c>
      <c r="G34" s="359">
        <f t="shared" si="3"/>
        <v>0</v>
      </c>
      <c r="H34" s="356">
        <f t="shared" si="2"/>
        <v>0</v>
      </c>
    </row>
    <row r="35" spans="1:8" ht="11.25" customHeight="1">
      <c r="A35" s="350" t="s">
        <v>203</v>
      </c>
      <c r="B35" s="359"/>
      <c r="C35" s="359"/>
      <c r="D35" s="359"/>
      <c r="E35" s="359"/>
      <c r="F35" s="359"/>
      <c r="G35" s="359"/>
      <c r="H35" s="356">
        <f t="shared" si="2"/>
        <v>0</v>
      </c>
    </row>
    <row r="36" spans="1:8" ht="11.25" customHeight="1">
      <c r="A36" s="360"/>
      <c r="B36" s="363"/>
      <c r="C36" s="363"/>
      <c r="D36" s="363"/>
      <c r="E36" s="363"/>
      <c r="F36" s="363"/>
      <c r="G36" s="363"/>
      <c r="H36" s="363"/>
    </row>
    <row r="37" spans="1:9" ht="11.25" customHeight="1">
      <c r="A37" s="864" t="s">
        <v>205</v>
      </c>
      <c r="B37" s="640" t="s">
        <v>5</v>
      </c>
      <c r="C37" s="651" t="s">
        <v>121</v>
      </c>
      <c r="D37" s="640" t="s">
        <v>204</v>
      </c>
      <c r="E37" s="350"/>
      <c r="F37" s="350"/>
      <c r="G37" s="350"/>
      <c r="I37" s="350"/>
    </row>
    <row r="38" spans="1:9" ht="11.25" customHeight="1">
      <c r="A38" s="865"/>
      <c r="B38" s="642" t="s">
        <v>328</v>
      </c>
      <c r="C38" s="652" t="s">
        <v>845</v>
      </c>
      <c r="D38" s="642" t="s">
        <v>846</v>
      </c>
      <c r="E38" s="350"/>
      <c r="F38" s="350"/>
      <c r="G38" s="350"/>
      <c r="I38" s="350"/>
    </row>
    <row r="39" spans="1:9" ht="11.25" customHeight="1">
      <c r="A39" s="364" t="s">
        <v>99</v>
      </c>
      <c r="B39" s="365"/>
      <c r="C39" s="366">
        <f>C20-(E29+G29)</f>
        <v>0</v>
      </c>
      <c r="D39" s="365">
        <f>B39+C39</f>
        <v>0</v>
      </c>
      <c r="E39" s="350"/>
      <c r="F39" s="350"/>
      <c r="G39" s="350"/>
      <c r="I39" s="350"/>
    </row>
    <row r="40" spans="1:13" ht="16.5" customHeight="1">
      <c r="A40" s="866" t="s">
        <v>1069</v>
      </c>
      <c r="B40" s="867"/>
      <c r="C40" s="867"/>
      <c r="D40" s="867"/>
      <c r="E40" s="868"/>
      <c r="F40" s="868"/>
      <c r="G40" s="868"/>
      <c r="H40" s="868"/>
      <c r="I40" s="367"/>
      <c r="J40" s="367"/>
      <c r="K40" s="367"/>
      <c r="L40" s="367"/>
      <c r="M40" s="367"/>
    </row>
    <row r="41" spans="1:8" ht="11.25" customHeight="1">
      <c r="A41" s="869"/>
      <c r="B41" s="869"/>
      <c r="C41" s="869"/>
      <c r="D41" s="869"/>
      <c r="E41" s="869"/>
      <c r="F41" s="869"/>
      <c r="G41" s="869"/>
      <c r="H41" s="869"/>
    </row>
    <row r="42" spans="1:8" ht="11.25" customHeight="1">
      <c r="A42" s="870"/>
      <c r="B42" s="870"/>
      <c r="C42" s="870"/>
      <c r="D42" s="870"/>
      <c r="E42" s="870"/>
      <c r="F42" s="870"/>
      <c r="G42" s="870"/>
      <c r="H42" s="870"/>
    </row>
    <row r="43" spans="1:8" ht="11.25" customHeight="1">
      <c r="A43" s="857"/>
      <c r="B43" s="857"/>
      <c r="C43" s="857"/>
      <c r="D43" s="857"/>
      <c r="E43" s="857"/>
      <c r="F43" s="857"/>
      <c r="G43" s="857"/>
      <c r="H43" s="857"/>
    </row>
    <row r="44" spans="1:8" ht="11.25" customHeight="1">
      <c r="A44" s="857"/>
      <c r="B44" s="857"/>
      <c r="C44" s="857"/>
      <c r="D44" s="857"/>
      <c r="E44" s="857"/>
      <c r="F44" s="857"/>
      <c r="G44" s="857"/>
      <c r="H44" s="857"/>
    </row>
    <row r="47" spans="1:5" s="369" customFormat="1" ht="11.25" customHeight="1">
      <c r="A47" s="518" t="s">
        <v>1055</v>
      </c>
      <c r="B47" s="518" t="s">
        <v>1057</v>
      </c>
      <c r="C47" s="518"/>
      <c r="D47" s="519" t="s">
        <v>1059</v>
      </c>
      <c r="E47" s="518"/>
    </row>
    <row r="48" spans="1:5" s="369" customFormat="1" ht="11.25" customHeight="1">
      <c r="A48" s="518" t="s">
        <v>1056</v>
      </c>
      <c r="B48" s="518" t="s">
        <v>1058</v>
      </c>
      <c r="C48" s="518"/>
      <c r="D48" s="518" t="s">
        <v>1060</v>
      </c>
      <c r="E48" s="518"/>
    </row>
    <row r="49" spans="1:5" s="369" customFormat="1" ht="11.25" customHeight="1">
      <c r="A49" s="522"/>
      <c r="B49" s="565" t="s">
        <v>1073</v>
      </c>
      <c r="C49" s="565"/>
      <c r="D49" s="522" t="s">
        <v>1074</v>
      </c>
      <c r="E49" s="565"/>
    </row>
  </sheetData>
  <sheetProtection/>
  <mergeCells count="11">
    <mergeCell ref="A44:H44"/>
    <mergeCell ref="A37:A38"/>
    <mergeCell ref="A40:H40"/>
    <mergeCell ref="A41:H41"/>
    <mergeCell ref="A42:H42"/>
    <mergeCell ref="A43:H43"/>
    <mergeCell ref="F26:F28"/>
    <mergeCell ref="A18:A19"/>
    <mergeCell ref="A11:F11"/>
    <mergeCell ref="A14:F14"/>
    <mergeCell ref="A15:F15"/>
  </mergeCells>
  <printOptions horizontalCentered="1"/>
  <pageMargins left="0.2755905511811024" right="0.31496062992125984" top="0.5905511811023623" bottom="0.3937007874015748" header="0" footer="0.1968503937007874"/>
  <pageSetup horizontalDpi="600" verticalDpi="600" orientation="landscape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14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8.421875" style="369" customWidth="1"/>
    <col min="2" max="2" width="15.8515625" style="369" customWidth="1"/>
    <col min="3" max="3" width="15.57421875" style="369" customWidth="1"/>
    <col min="4" max="10" width="14.8515625" style="369" customWidth="1"/>
    <col min="11" max="16384" width="9.140625" style="369" customWidth="1"/>
  </cols>
  <sheetData>
    <row r="2" ht="25.5" customHeight="1">
      <c r="A2" s="513" t="s">
        <v>1050</v>
      </c>
    </row>
    <row r="3" ht="15.75" customHeight="1">
      <c r="A3" s="514" t="s">
        <v>1051</v>
      </c>
    </row>
    <row r="4" ht="15.75" customHeight="1">
      <c r="A4" s="514" t="s">
        <v>1052</v>
      </c>
    </row>
    <row r="5" ht="15.75" customHeight="1">
      <c r="A5" s="514" t="s">
        <v>1053</v>
      </c>
    </row>
    <row r="6" spans="1:5" ht="15.75">
      <c r="A6" s="104" t="s">
        <v>621</v>
      </c>
      <c r="B6" s="368"/>
      <c r="C6" s="368"/>
      <c r="D6" s="368"/>
      <c r="E6" s="368"/>
    </row>
    <row r="7" spans="1:5" ht="12.75">
      <c r="A7" s="103"/>
      <c r="B7" s="103"/>
      <c r="C7" s="103"/>
      <c r="D7" s="103"/>
      <c r="E7" s="103"/>
    </row>
    <row r="8" spans="1:7" ht="12.75">
      <c r="A8" s="484" t="s">
        <v>1050</v>
      </c>
      <c r="B8" s="106"/>
      <c r="C8" s="106"/>
      <c r="D8" s="106"/>
      <c r="E8" s="106"/>
      <c r="F8" s="106"/>
      <c r="G8" s="106"/>
    </row>
    <row r="9" spans="1:7" ht="12.75">
      <c r="A9" s="106" t="s">
        <v>68</v>
      </c>
      <c r="B9" s="106"/>
      <c r="C9" s="106"/>
      <c r="D9" s="106"/>
      <c r="E9" s="106"/>
      <c r="F9" s="106"/>
      <c r="G9" s="106"/>
    </row>
    <row r="10" spans="1:7" ht="12.75">
      <c r="A10" s="107" t="s">
        <v>351</v>
      </c>
      <c r="B10" s="107"/>
      <c r="C10" s="107"/>
      <c r="D10" s="107"/>
      <c r="E10" s="107"/>
      <c r="F10" s="107"/>
      <c r="G10" s="107"/>
    </row>
    <row r="11" spans="1:7" ht="12.75">
      <c r="A11" s="745" t="s">
        <v>70</v>
      </c>
      <c r="B11" s="745"/>
      <c r="C11" s="745"/>
      <c r="D11" s="745"/>
      <c r="E11" s="745"/>
      <c r="F11" s="745"/>
      <c r="G11" s="745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7" ht="12.75">
      <c r="A13" s="333" t="s">
        <v>1054</v>
      </c>
      <c r="B13" s="305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C13" s="103"/>
      <c r="D13" s="103"/>
      <c r="E13" s="103"/>
      <c r="F13" s="103"/>
      <c r="G13" s="103"/>
    </row>
    <row r="14" spans="1:7" ht="12.75" hidden="1">
      <c r="A14" s="745"/>
      <c r="B14" s="745"/>
      <c r="C14" s="745"/>
      <c r="D14" s="745"/>
      <c r="E14" s="745"/>
      <c r="F14" s="745"/>
      <c r="G14" s="745"/>
    </row>
    <row r="15" spans="1:7" ht="12.75" hidden="1">
      <c r="A15" s="745"/>
      <c r="B15" s="745"/>
      <c r="C15" s="745"/>
      <c r="D15" s="745"/>
      <c r="E15" s="745"/>
      <c r="F15" s="745"/>
      <c r="G15" s="745"/>
    </row>
    <row r="16" spans="1:5" ht="12.75">
      <c r="A16" s="103"/>
      <c r="B16" s="103"/>
      <c r="C16" s="103"/>
      <c r="D16" s="103"/>
      <c r="E16" s="103"/>
    </row>
    <row r="17" spans="1:5" ht="12.75">
      <c r="A17" s="370" t="s">
        <v>358</v>
      </c>
      <c r="B17" s="109"/>
      <c r="C17" s="109"/>
      <c r="D17" s="109"/>
      <c r="E17" s="111" t="s">
        <v>360</v>
      </c>
    </row>
    <row r="18" spans="1:5" ht="12.75">
      <c r="A18" s="873" t="s">
        <v>352</v>
      </c>
      <c r="B18" s="659" t="s">
        <v>71</v>
      </c>
      <c r="C18" s="659" t="s">
        <v>71</v>
      </c>
      <c r="D18" s="871" t="s">
        <v>72</v>
      </c>
      <c r="E18" s="872"/>
    </row>
    <row r="19" spans="1:5" ht="12.75">
      <c r="A19" s="874"/>
      <c r="B19" s="663" t="s">
        <v>74</v>
      </c>
      <c r="C19" s="663" t="s">
        <v>75</v>
      </c>
      <c r="D19" s="673" t="str">
        <f>CONCATENATE("Até o  ",B13)</f>
        <v>Até o  Bimestre</v>
      </c>
      <c r="E19" s="659" t="s">
        <v>77</v>
      </c>
    </row>
    <row r="20" spans="1:7" ht="12.75">
      <c r="A20" s="875"/>
      <c r="B20" s="674"/>
      <c r="C20" s="668" t="s">
        <v>79</v>
      </c>
      <c r="D20" s="668" t="s">
        <v>80</v>
      </c>
      <c r="E20" s="663" t="s">
        <v>170</v>
      </c>
      <c r="G20" s="371"/>
    </row>
    <row r="21" spans="1:7" ht="12.75">
      <c r="A21" s="372" t="s">
        <v>947</v>
      </c>
      <c r="B21" s="119">
        <f>B22+B25+B28+B31</f>
        <v>286915000</v>
      </c>
      <c r="C21" s="119">
        <f>C22+C25+C28+C31</f>
        <v>286915000</v>
      </c>
      <c r="D21" s="119">
        <f>D22+D25+D28+D31</f>
        <v>44721935.04</v>
      </c>
      <c r="E21" s="119">
        <f aca="true" t="shared" si="0" ref="E21:E41">IF(C21&gt;0,D21/C21*100,0)</f>
        <v>15.587172172943205</v>
      </c>
      <c r="G21" s="371"/>
    </row>
    <row r="22" spans="1:7" ht="12.75">
      <c r="A22" s="373" t="s">
        <v>935</v>
      </c>
      <c r="B22" s="374">
        <f>SUM(B23:B24)</f>
        <v>125330000</v>
      </c>
      <c r="C22" s="374">
        <f>SUM(C23:C24)</f>
        <v>125330000</v>
      </c>
      <c r="D22" s="374">
        <f>SUM(D23:D24)</f>
        <v>12489723.33</v>
      </c>
      <c r="E22" s="374">
        <f t="shared" si="0"/>
        <v>9.965469823665524</v>
      </c>
      <c r="F22" s="375"/>
      <c r="G22" s="371"/>
    </row>
    <row r="23" spans="1:7" ht="12.75">
      <c r="A23" s="376" t="s">
        <v>936</v>
      </c>
      <c r="B23" s="377">
        <v>109000000</v>
      </c>
      <c r="C23" s="377">
        <v>109000000</v>
      </c>
      <c r="D23" s="377">
        <v>7229458.58</v>
      </c>
      <c r="E23" s="377">
        <f t="shared" si="0"/>
        <v>6.6325308073394496</v>
      </c>
      <c r="F23" s="378"/>
      <c r="G23" s="371"/>
    </row>
    <row r="24" spans="1:7" ht="12.75">
      <c r="A24" s="376" t="s">
        <v>937</v>
      </c>
      <c r="B24" s="377">
        <v>16330000</v>
      </c>
      <c r="C24" s="377">
        <v>16330000</v>
      </c>
      <c r="D24" s="377">
        <v>5260264.75</v>
      </c>
      <c r="E24" s="377">
        <f t="shared" si="0"/>
        <v>32.212276484996934</v>
      </c>
      <c r="F24" s="378"/>
      <c r="G24" s="371"/>
    </row>
    <row r="25" spans="1:7" ht="12.75">
      <c r="A25" s="376" t="s">
        <v>938</v>
      </c>
      <c r="B25" s="377">
        <f>SUM(B26:B27)</f>
        <v>30405000</v>
      </c>
      <c r="C25" s="377">
        <f>SUM(C26:C27)</f>
        <v>30405000</v>
      </c>
      <c r="D25" s="377">
        <f>SUM(D26:D27)</f>
        <v>8759936.75</v>
      </c>
      <c r="E25" s="377">
        <f t="shared" si="0"/>
        <v>28.810842789014963</v>
      </c>
      <c r="F25" s="378"/>
      <c r="G25" s="371"/>
    </row>
    <row r="26" spans="1:7" ht="12.75">
      <c r="A26" s="376" t="s">
        <v>939</v>
      </c>
      <c r="B26" s="377">
        <v>30000000</v>
      </c>
      <c r="C26" s="377">
        <v>30000000</v>
      </c>
      <c r="D26" s="377">
        <v>8719697.52</v>
      </c>
      <c r="E26" s="377">
        <f t="shared" si="0"/>
        <v>29.0656584</v>
      </c>
      <c r="F26" s="378"/>
      <c r="G26" s="371"/>
    </row>
    <row r="27" spans="1:7" ht="12.75">
      <c r="A27" s="376" t="s">
        <v>940</v>
      </c>
      <c r="B27" s="377">
        <v>405000</v>
      </c>
      <c r="C27" s="377">
        <v>405000</v>
      </c>
      <c r="D27" s="377">
        <v>40239.23</v>
      </c>
      <c r="E27" s="377">
        <f t="shared" si="0"/>
        <v>9.935612345679013</v>
      </c>
      <c r="F27" s="378"/>
      <c r="G27" s="371"/>
    </row>
    <row r="28" spans="1:7" ht="12.75">
      <c r="A28" s="376" t="s">
        <v>941</v>
      </c>
      <c r="B28" s="377">
        <f>SUM(B29:B30)</f>
        <v>90380000</v>
      </c>
      <c r="C28" s="377">
        <f>SUM(C29:C30)</f>
        <v>90380000</v>
      </c>
      <c r="D28" s="377">
        <f>SUM(D29:D30)</f>
        <v>19244383.34</v>
      </c>
      <c r="E28" s="377">
        <f t="shared" si="0"/>
        <v>21.292745452533744</v>
      </c>
      <c r="F28" s="378"/>
      <c r="G28" s="371"/>
    </row>
    <row r="29" spans="1:7" ht="12.75">
      <c r="A29" s="376" t="s">
        <v>942</v>
      </c>
      <c r="B29" s="377">
        <v>85500000</v>
      </c>
      <c r="C29" s="377">
        <v>85500000</v>
      </c>
      <c r="D29" s="377">
        <v>18039663.8</v>
      </c>
      <c r="E29" s="377">
        <f t="shared" si="0"/>
        <v>21.099021988304095</v>
      </c>
      <c r="F29" s="378"/>
      <c r="G29" s="371"/>
    </row>
    <row r="30" spans="1:7" ht="12.75">
      <c r="A30" s="376" t="s">
        <v>943</v>
      </c>
      <c r="B30" s="377">
        <v>4880000</v>
      </c>
      <c r="C30" s="377">
        <v>4880000</v>
      </c>
      <c r="D30" s="377">
        <v>1204719.54</v>
      </c>
      <c r="E30" s="377">
        <f t="shared" si="0"/>
        <v>24.68687581967213</v>
      </c>
      <c r="F30" s="378"/>
      <c r="G30" s="371"/>
    </row>
    <row r="31" spans="1:7" ht="12.75">
      <c r="A31" s="376" t="s">
        <v>960</v>
      </c>
      <c r="B31" s="377">
        <v>40800000</v>
      </c>
      <c r="C31" s="377">
        <v>40800000</v>
      </c>
      <c r="D31" s="377">
        <v>4227891.62</v>
      </c>
      <c r="E31" s="377">
        <f t="shared" si="0"/>
        <v>10.362479460784314</v>
      </c>
      <c r="F31" s="378"/>
      <c r="G31" s="371"/>
    </row>
    <row r="32" spans="1:7" ht="12.75">
      <c r="A32" s="379" t="s">
        <v>483</v>
      </c>
      <c r="B32" s="118">
        <f>SUM(B33:B38)</f>
        <v>401805000</v>
      </c>
      <c r="C32" s="118">
        <f>SUM(C33:C38)</f>
        <v>401805000</v>
      </c>
      <c r="D32" s="118">
        <f>SUM(D33:D38)</f>
        <v>101630926.98000002</v>
      </c>
      <c r="E32" s="118">
        <f t="shared" si="0"/>
        <v>25.293594400268795</v>
      </c>
      <c r="G32" s="371"/>
    </row>
    <row r="33" spans="1:5" ht="12.75">
      <c r="A33" s="379" t="s">
        <v>558</v>
      </c>
      <c r="B33" s="118">
        <v>71000000</v>
      </c>
      <c r="C33" s="118">
        <v>71000000</v>
      </c>
      <c r="D33" s="118">
        <v>16688339.72</v>
      </c>
      <c r="E33" s="118">
        <f t="shared" si="0"/>
        <v>23.504703830985914</v>
      </c>
    </row>
    <row r="34" spans="1:5" ht="12.75">
      <c r="A34" s="379" t="s">
        <v>559</v>
      </c>
      <c r="B34" s="118">
        <v>1000000</v>
      </c>
      <c r="C34" s="118">
        <v>1000000</v>
      </c>
      <c r="D34" s="118">
        <v>24798.59</v>
      </c>
      <c r="E34" s="118">
        <f t="shared" si="0"/>
        <v>2.479859</v>
      </c>
    </row>
    <row r="35" spans="1:5" ht="12.75">
      <c r="A35" s="379" t="s">
        <v>560</v>
      </c>
      <c r="B35" s="118">
        <v>66000000</v>
      </c>
      <c r="C35" s="118">
        <v>66000000</v>
      </c>
      <c r="D35" s="118">
        <v>42860158.7</v>
      </c>
      <c r="E35" s="118">
        <f t="shared" si="0"/>
        <v>64.9396343939394</v>
      </c>
    </row>
    <row r="36" spans="1:5" ht="12.75">
      <c r="A36" s="379" t="s">
        <v>561</v>
      </c>
      <c r="B36" s="118">
        <v>262000000</v>
      </c>
      <c r="C36" s="118">
        <v>262000000</v>
      </c>
      <c r="D36" s="118">
        <v>41644845.13</v>
      </c>
      <c r="E36" s="118">
        <f t="shared" si="0"/>
        <v>15.89497905725191</v>
      </c>
    </row>
    <row r="37" spans="1:5" ht="12.75">
      <c r="A37" s="379" t="s">
        <v>354</v>
      </c>
      <c r="B37" s="118">
        <v>1800000</v>
      </c>
      <c r="C37" s="118">
        <v>1800000</v>
      </c>
      <c r="D37" s="118">
        <v>412784.84</v>
      </c>
      <c r="E37" s="118">
        <f t="shared" si="0"/>
        <v>22.932491111111112</v>
      </c>
    </row>
    <row r="38" spans="1:5" ht="12.75">
      <c r="A38" s="379" t="s">
        <v>355</v>
      </c>
      <c r="B38" s="118">
        <f>SUM(B39:B40)</f>
        <v>5000</v>
      </c>
      <c r="C38" s="118">
        <f>SUM(C39:C40)</f>
        <v>5000</v>
      </c>
      <c r="D38" s="118">
        <f>SUM(D39:D40)</f>
        <v>0</v>
      </c>
      <c r="E38" s="118">
        <f t="shared" si="0"/>
        <v>0</v>
      </c>
    </row>
    <row r="39" spans="1:5" ht="12.75">
      <c r="A39" s="379" t="s">
        <v>356</v>
      </c>
      <c r="B39" s="118">
        <v>5000</v>
      </c>
      <c r="C39" s="118">
        <v>5000</v>
      </c>
      <c r="D39" s="118">
        <v>0</v>
      </c>
      <c r="E39" s="118">
        <f t="shared" si="0"/>
        <v>0</v>
      </c>
    </row>
    <row r="40" spans="1:5" ht="12.75">
      <c r="A40" s="380" t="s">
        <v>357</v>
      </c>
      <c r="B40" s="133"/>
      <c r="C40" s="133"/>
      <c r="D40" s="133"/>
      <c r="E40" s="133">
        <f t="shared" si="0"/>
        <v>0</v>
      </c>
    </row>
    <row r="41" spans="1:5" ht="21.75">
      <c r="A41" s="381" t="s">
        <v>948</v>
      </c>
      <c r="B41" s="129">
        <f>B21+B32</f>
        <v>688720000</v>
      </c>
      <c r="C41" s="129">
        <f>C21+C32</f>
        <v>688720000</v>
      </c>
      <c r="D41" s="129">
        <f>D21+D32</f>
        <v>146352862.02</v>
      </c>
      <c r="E41" s="133">
        <f t="shared" si="0"/>
        <v>21.249979965733537</v>
      </c>
    </row>
    <row r="42" spans="1:8" ht="12.75">
      <c r="A42" s="382"/>
      <c r="B42" s="383"/>
      <c r="C42" s="382"/>
      <c r="D42" s="382"/>
      <c r="E42" s="382"/>
      <c r="F42" s="382"/>
      <c r="G42" s="382"/>
      <c r="H42" s="384"/>
    </row>
    <row r="43" spans="1:10" ht="31.5" customHeight="1">
      <c r="A43" s="680" t="s">
        <v>949</v>
      </c>
      <c r="B43" s="659" t="s">
        <v>103</v>
      </c>
      <c r="C43" s="659" t="s">
        <v>103</v>
      </c>
      <c r="D43" s="879" t="s">
        <v>104</v>
      </c>
      <c r="E43" s="886"/>
      <c r="F43" s="879" t="s">
        <v>105</v>
      </c>
      <c r="G43" s="886"/>
      <c r="H43" s="879" t="s">
        <v>944</v>
      </c>
      <c r="I43" s="886"/>
      <c r="J43" s="881" t="s">
        <v>635</v>
      </c>
    </row>
    <row r="44" spans="1:10" ht="12.75">
      <c r="A44" s="687" t="s">
        <v>208</v>
      </c>
      <c r="B44" s="663" t="s">
        <v>74</v>
      </c>
      <c r="C44" s="663" t="s">
        <v>75</v>
      </c>
      <c r="D44" s="659" t="str">
        <f>CONCATENATE("Até o  ",B13)</f>
        <v>Até o  Bimestre</v>
      </c>
      <c r="E44" s="664" t="s">
        <v>77</v>
      </c>
      <c r="F44" s="659" t="str">
        <f>CONCATENATE("Até o  ",B13)</f>
        <v>Até o  Bimestre</v>
      </c>
      <c r="G44" s="664" t="s">
        <v>77</v>
      </c>
      <c r="H44" s="659" t="str">
        <f>CONCATENATE("Até o  ",B13)</f>
        <v>Até o  Bimestre</v>
      </c>
      <c r="I44" s="664" t="s">
        <v>77</v>
      </c>
      <c r="J44" s="882"/>
    </row>
    <row r="45" spans="1:10" ht="12.75">
      <c r="A45" s="687"/>
      <c r="B45" s="689"/>
      <c r="C45" s="663" t="s">
        <v>100</v>
      </c>
      <c r="D45" s="663" t="s">
        <v>108</v>
      </c>
      <c r="E45" s="435" t="s">
        <v>171</v>
      </c>
      <c r="F45" s="663" t="s">
        <v>109</v>
      </c>
      <c r="G45" s="435" t="s">
        <v>945</v>
      </c>
      <c r="H45" s="663" t="s">
        <v>190</v>
      </c>
      <c r="I45" s="435" t="s">
        <v>946</v>
      </c>
      <c r="J45" s="688" t="s">
        <v>110</v>
      </c>
    </row>
    <row r="46" spans="1:10" ht="12.75">
      <c r="A46" s="385" t="s">
        <v>950</v>
      </c>
      <c r="B46" s="386">
        <f>SUM(B47:B48)</f>
        <v>37427000</v>
      </c>
      <c r="C46" s="386">
        <f>SUM(C47:C48)</f>
        <v>37427000</v>
      </c>
      <c r="D46" s="386">
        <f>SUM(D47:D48)</f>
        <v>7943745.81</v>
      </c>
      <c r="E46" s="386">
        <f aca="true" t="shared" si="1" ref="E46:E67">IF(C46&gt;0,D46/C46*100,0)</f>
        <v>21.22463945814519</v>
      </c>
      <c r="F46" s="386">
        <f>SUM(F47:F48)</f>
        <v>5987850.18</v>
      </c>
      <c r="G46" s="119">
        <f aca="true" t="shared" si="2" ref="G46:G67">IF(C46&gt;0,F46/C46*100,0)</f>
        <v>15.998744703021881</v>
      </c>
      <c r="H46" s="119">
        <f>SUM(H47:H48)</f>
        <v>3195317.71</v>
      </c>
      <c r="I46" s="119">
        <f aca="true" t="shared" si="3" ref="I46:I67">IF(C46&gt;0,H46/C46*100,0)</f>
        <v>8.537466828759985</v>
      </c>
      <c r="J46" s="387">
        <f>SUM(J47:J48)</f>
        <v>0</v>
      </c>
    </row>
    <row r="47" spans="1:10" ht="12.75">
      <c r="A47" s="388" t="s">
        <v>951</v>
      </c>
      <c r="B47" s="389">
        <v>37326000</v>
      </c>
      <c r="C47" s="389">
        <v>37326000</v>
      </c>
      <c r="D47" s="389">
        <v>7943745.81</v>
      </c>
      <c r="E47" s="389">
        <f t="shared" si="1"/>
        <v>21.28207096929754</v>
      </c>
      <c r="F47" s="389">
        <v>5987850.18</v>
      </c>
      <c r="G47" s="118">
        <f t="shared" si="2"/>
        <v>16.042035524835235</v>
      </c>
      <c r="H47" s="118">
        <v>3195317.71</v>
      </c>
      <c r="I47" s="118">
        <f t="shared" si="3"/>
        <v>8.560568263408884</v>
      </c>
      <c r="J47" s="390"/>
    </row>
    <row r="48" spans="1:10" ht="12.75">
      <c r="A48" s="388" t="s">
        <v>952</v>
      </c>
      <c r="B48" s="389">
        <v>101000</v>
      </c>
      <c r="C48" s="389">
        <v>101000</v>
      </c>
      <c r="D48" s="389">
        <v>0</v>
      </c>
      <c r="E48" s="389">
        <f t="shared" si="1"/>
        <v>0</v>
      </c>
      <c r="F48" s="389">
        <v>0</v>
      </c>
      <c r="G48" s="118">
        <f t="shared" si="2"/>
        <v>0</v>
      </c>
      <c r="H48" s="118">
        <v>0</v>
      </c>
      <c r="I48" s="118">
        <f t="shared" si="3"/>
        <v>0</v>
      </c>
      <c r="J48" s="390"/>
    </row>
    <row r="49" spans="1:10" ht="12.75">
      <c r="A49" s="391" t="s">
        <v>953</v>
      </c>
      <c r="B49" s="392">
        <f>SUM(B50:B51)</f>
        <v>115650000</v>
      </c>
      <c r="C49" s="392">
        <f>SUM(C50:C51)</f>
        <v>125459078.11</v>
      </c>
      <c r="D49" s="392">
        <f>SUM(D50:D51)</f>
        <v>54116328.99</v>
      </c>
      <c r="E49" s="392">
        <f t="shared" si="1"/>
        <v>43.134645818576715</v>
      </c>
      <c r="F49" s="392">
        <f>SUM(F50:F51)</f>
        <v>19112974.46</v>
      </c>
      <c r="G49" s="118">
        <f t="shared" si="2"/>
        <v>15.234429224198609</v>
      </c>
      <c r="H49" s="118">
        <f>SUM(H50:H51)</f>
        <v>13264527.17</v>
      </c>
      <c r="I49" s="118">
        <f t="shared" si="3"/>
        <v>10.572791837646001</v>
      </c>
      <c r="J49" s="390">
        <f>SUM(J50:J51)</f>
        <v>0</v>
      </c>
    </row>
    <row r="50" spans="1:10" ht="12.75">
      <c r="A50" s="388" t="s">
        <v>951</v>
      </c>
      <c r="B50" s="389">
        <v>115546000</v>
      </c>
      <c r="C50" s="389">
        <v>125355078.11</v>
      </c>
      <c r="D50" s="389">
        <v>54101126.17</v>
      </c>
      <c r="E50" s="389">
        <f t="shared" si="1"/>
        <v>43.15830438279163</v>
      </c>
      <c r="F50" s="389">
        <v>19110601.46</v>
      </c>
      <c r="G50" s="118">
        <f t="shared" si="2"/>
        <v>15.245175343618955</v>
      </c>
      <c r="H50" s="118">
        <v>13264527.17</v>
      </c>
      <c r="I50" s="118">
        <f t="shared" si="3"/>
        <v>10.581563483499473</v>
      </c>
      <c r="J50" s="390"/>
    </row>
    <row r="51" spans="1:10" ht="12.75">
      <c r="A51" s="388" t="s">
        <v>954</v>
      </c>
      <c r="B51" s="389">
        <v>104000</v>
      </c>
      <c r="C51" s="389">
        <v>104000</v>
      </c>
      <c r="D51" s="389">
        <v>15202.82</v>
      </c>
      <c r="E51" s="389">
        <f t="shared" si="1"/>
        <v>14.618096153846153</v>
      </c>
      <c r="F51" s="389">
        <v>2373</v>
      </c>
      <c r="G51" s="118">
        <f t="shared" si="2"/>
        <v>2.2817307692307693</v>
      </c>
      <c r="H51" s="118">
        <v>0</v>
      </c>
      <c r="I51" s="118">
        <f t="shared" si="3"/>
        <v>0</v>
      </c>
      <c r="J51" s="390"/>
    </row>
    <row r="52" spans="1:10" ht="12.75">
      <c r="A52" s="391" t="s">
        <v>955</v>
      </c>
      <c r="B52" s="392">
        <f>SUM(B53:B54)</f>
        <v>10804000</v>
      </c>
      <c r="C52" s="392">
        <f>SUM(C53:C54)</f>
        <v>10804000</v>
      </c>
      <c r="D52" s="392">
        <f>SUM(D53:D54)</f>
        <v>2294163.1100000003</v>
      </c>
      <c r="E52" s="392">
        <f t="shared" si="1"/>
        <v>21.234386430951503</v>
      </c>
      <c r="F52" s="392">
        <f>SUM(F53:F54)</f>
        <v>1563087.9</v>
      </c>
      <c r="G52" s="118">
        <f t="shared" si="2"/>
        <v>14.467677711958531</v>
      </c>
      <c r="H52" s="118">
        <f>SUM(H53:H54)</f>
        <v>340387.51</v>
      </c>
      <c r="I52" s="118">
        <f t="shared" si="3"/>
        <v>3.1505693261754906</v>
      </c>
      <c r="J52" s="390">
        <f>SUM(J53:J54)</f>
        <v>0</v>
      </c>
    </row>
    <row r="53" spans="1:10" ht="12.75">
      <c r="A53" s="388" t="s">
        <v>951</v>
      </c>
      <c r="B53" s="389">
        <v>10794000</v>
      </c>
      <c r="C53" s="389">
        <v>10794000</v>
      </c>
      <c r="D53" s="389">
        <v>2293759.91</v>
      </c>
      <c r="E53" s="389">
        <f t="shared" si="1"/>
        <v>21.250323420418752</v>
      </c>
      <c r="F53" s="389">
        <v>1563087.9</v>
      </c>
      <c r="G53" s="118">
        <f t="shared" si="2"/>
        <v>14.481081156197886</v>
      </c>
      <c r="H53" s="118">
        <v>340387.51</v>
      </c>
      <c r="I53" s="118">
        <f t="shared" si="3"/>
        <v>3.153488141560126</v>
      </c>
      <c r="J53" s="390"/>
    </row>
    <row r="54" spans="1:10" ht="12.75">
      <c r="A54" s="388" t="s">
        <v>954</v>
      </c>
      <c r="B54" s="389">
        <v>10000</v>
      </c>
      <c r="C54" s="389">
        <v>10000</v>
      </c>
      <c r="D54" s="389">
        <v>403.2</v>
      </c>
      <c r="E54" s="389">
        <f t="shared" si="1"/>
        <v>4.032</v>
      </c>
      <c r="F54" s="389">
        <v>0</v>
      </c>
      <c r="G54" s="118">
        <f t="shared" si="2"/>
        <v>0</v>
      </c>
      <c r="H54" s="118">
        <v>0</v>
      </c>
      <c r="I54" s="118">
        <f t="shared" si="3"/>
        <v>0</v>
      </c>
      <c r="J54" s="390"/>
    </row>
    <row r="55" spans="1:10" ht="12.75">
      <c r="A55" s="391" t="s">
        <v>956</v>
      </c>
      <c r="B55" s="392">
        <f>SUM(B56:B57)</f>
        <v>1794000</v>
      </c>
      <c r="C55" s="392">
        <f>SUM(C56:C57)</f>
        <v>1794000</v>
      </c>
      <c r="D55" s="392">
        <f>SUM(D56:D57)</f>
        <v>339839.96</v>
      </c>
      <c r="E55" s="392">
        <f t="shared" si="1"/>
        <v>18.94314158305463</v>
      </c>
      <c r="F55" s="392">
        <f>SUM(F56:F57)</f>
        <v>332833.28</v>
      </c>
      <c r="G55" s="118">
        <f t="shared" si="2"/>
        <v>18.55257971014493</v>
      </c>
      <c r="H55" s="118">
        <f>SUM(H56:H57)</f>
        <v>187571.58</v>
      </c>
      <c r="I55" s="118">
        <f t="shared" si="3"/>
        <v>10.45549498327759</v>
      </c>
      <c r="J55" s="390">
        <f>SUM(J56:J57)</f>
        <v>0</v>
      </c>
    </row>
    <row r="56" spans="1:10" ht="12.75">
      <c r="A56" s="388" t="s">
        <v>951</v>
      </c>
      <c r="B56" s="389">
        <v>1794000</v>
      </c>
      <c r="C56" s="389">
        <v>1794000</v>
      </c>
      <c r="D56" s="389">
        <v>339839.96</v>
      </c>
      <c r="E56" s="389">
        <f t="shared" si="1"/>
        <v>18.94314158305463</v>
      </c>
      <c r="F56" s="389">
        <v>332833.28</v>
      </c>
      <c r="G56" s="118">
        <f t="shared" si="2"/>
        <v>18.55257971014493</v>
      </c>
      <c r="H56" s="118">
        <v>187571.58</v>
      </c>
      <c r="I56" s="118">
        <f t="shared" si="3"/>
        <v>10.45549498327759</v>
      </c>
      <c r="J56" s="390"/>
    </row>
    <row r="57" spans="1:10" ht="12.75">
      <c r="A57" s="388" t="s">
        <v>954</v>
      </c>
      <c r="B57" s="389"/>
      <c r="C57" s="389"/>
      <c r="D57" s="389"/>
      <c r="E57" s="389">
        <f t="shared" si="1"/>
        <v>0</v>
      </c>
      <c r="F57" s="389"/>
      <c r="G57" s="118">
        <f t="shared" si="2"/>
        <v>0</v>
      </c>
      <c r="H57" s="118"/>
      <c r="I57" s="118">
        <f t="shared" si="3"/>
        <v>0</v>
      </c>
      <c r="J57" s="390"/>
    </row>
    <row r="58" spans="1:10" ht="12.75">
      <c r="A58" s="391" t="s">
        <v>957</v>
      </c>
      <c r="B58" s="392">
        <f>SUM(B59:B60)</f>
        <v>3588000</v>
      </c>
      <c r="C58" s="392">
        <f>SUM(C59:C60)</f>
        <v>3588000</v>
      </c>
      <c r="D58" s="392">
        <f>SUM(D59:D60)</f>
        <v>689826.54</v>
      </c>
      <c r="E58" s="392">
        <f t="shared" si="1"/>
        <v>19.225934782608697</v>
      </c>
      <c r="F58" s="392">
        <f>SUM(F59:F60)</f>
        <v>621774.14</v>
      </c>
      <c r="G58" s="118">
        <f t="shared" si="2"/>
        <v>17.32926811594203</v>
      </c>
      <c r="H58" s="118">
        <f>SUM(H59:H60)</f>
        <v>363298.67</v>
      </c>
      <c r="I58" s="118">
        <f t="shared" si="3"/>
        <v>10.12538099219621</v>
      </c>
      <c r="J58" s="390">
        <f>SUM(J59:J60)</f>
        <v>0</v>
      </c>
    </row>
    <row r="59" spans="1:10" ht="12.75">
      <c r="A59" s="388" t="s">
        <v>951</v>
      </c>
      <c r="B59" s="389">
        <v>3518000</v>
      </c>
      <c r="C59" s="389">
        <v>3518000</v>
      </c>
      <c r="D59" s="389">
        <v>682646.74</v>
      </c>
      <c r="E59" s="389">
        <f t="shared" si="1"/>
        <v>19.404398521887437</v>
      </c>
      <c r="F59" s="389">
        <v>621774.14</v>
      </c>
      <c r="G59" s="118">
        <f t="shared" si="2"/>
        <v>17.674080159181354</v>
      </c>
      <c r="H59" s="118">
        <v>363298.67</v>
      </c>
      <c r="I59" s="118">
        <f t="shared" si="3"/>
        <v>10.32685247299602</v>
      </c>
      <c r="J59" s="390"/>
    </row>
    <row r="60" spans="1:10" ht="12.75">
      <c r="A60" s="388" t="s">
        <v>954</v>
      </c>
      <c r="B60" s="389">
        <v>70000</v>
      </c>
      <c r="C60" s="389">
        <v>70000</v>
      </c>
      <c r="D60" s="389">
        <v>7179.8</v>
      </c>
      <c r="E60" s="389">
        <f t="shared" si="1"/>
        <v>10.256857142857143</v>
      </c>
      <c r="F60" s="389">
        <v>0</v>
      </c>
      <c r="G60" s="118">
        <f t="shared" si="2"/>
        <v>0</v>
      </c>
      <c r="H60" s="118">
        <v>0</v>
      </c>
      <c r="I60" s="118">
        <f t="shared" si="3"/>
        <v>0</v>
      </c>
      <c r="J60" s="390"/>
    </row>
    <row r="61" spans="1:10" ht="12.75">
      <c r="A61" s="391" t="s">
        <v>958</v>
      </c>
      <c r="B61" s="392">
        <f>SUM(B62:B63)</f>
        <v>0</v>
      </c>
      <c r="C61" s="392">
        <f>SUM(C62:C63)</f>
        <v>0</v>
      </c>
      <c r="D61" s="392">
        <f>SUM(D62:D63)</f>
        <v>0</v>
      </c>
      <c r="E61" s="392">
        <f t="shared" si="1"/>
        <v>0</v>
      </c>
      <c r="F61" s="392">
        <f>SUM(F62:F63)</f>
        <v>0</v>
      </c>
      <c r="G61" s="118">
        <f t="shared" si="2"/>
        <v>0</v>
      </c>
      <c r="H61" s="118">
        <f>SUM(H62:H63)</f>
        <v>0</v>
      </c>
      <c r="I61" s="118">
        <f t="shared" si="3"/>
        <v>0</v>
      </c>
      <c r="J61" s="390">
        <f>SUM(J62:J63)</f>
        <v>0</v>
      </c>
    </row>
    <row r="62" spans="1:10" ht="12.75">
      <c r="A62" s="388" t="s">
        <v>951</v>
      </c>
      <c r="B62" s="389"/>
      <c r="C62" s="389"/>
      <c r="D62" s="389"/>
      <c r="E62" s="389">
        <f t="shared" si="1"/>
        <v>0</v>
      </c>
      <c r="F62" s="389"/>
      <c r="G62" s="118">
        <f t="shared" si="2"/>
        <v>0</v>
      </c>
      <c r="H62" s="118"/>
      <c r="I62" s="118">
        <f t="shared" si="3"/>
        <v>0</v>
      </c>
      <c r="J62" s="390"/>
    </row>
    <row r="63" spans="1:10" ht="12.75">
      <c r="A63" s="388" t="s">
        <v>954</v>
      </c>
      <c r="B63" s="389"/>
      <c r="C63" s="389"/>
      <c r="D63" s="389"/>
      <c r="E63" s="389">
        <f t="shared" si="1"/>
        <v>0</v>
      </c>
      <c r="F63" s="389"/>
      <c r="G63" s="118">
        <f t="shared" si="2"/>
        <v>0</v>
      </c>
      <c r="H63" s="118"/>
      <c r="I63" s="118">
        <f t="shared" si="3"/>
        <v>0</v>
      </c>
      <c r="J63" s="390"/>
    </row>
    <row r="64" spans="1:10" ht="12.75">
      <c r="A64" s="391" t="s">
        <v>959</v>
      </c>
      <c r="B64" s="392">
        <f>SUM(B65:B66)</f>
        <v>17885500</v>
      </c>
      <c r="C64" s="392">
        <f>SUM(C65:C66)</f>
        <v>17885500</v>
      </c>
      <c r="D64" s="392">
        <f>SUM(D65:D66)</f>
        <v>4744690.06</v>
      </c>
      <c r="E64" s="392">
        <f t="shared" si="1"/>
        <v>26.528137653406386</v>
      </c>
      <c r="F64" s="392">
        <f>SUM(F65:F66)</f>
        <v>1820759.02</v>
      </c>
      <c r="G64" s="118">
        <f t="shared" si="2"/>
        <v>10.180084537754047</v>
      </c>
      <c r="H64" s="118">
        <f>SUM(H65:H66)</f>
        <v>975761.39</v>
      </c>
      <c r="I64" s="118">
        <f t="shared" si="3"/>
        <v>5.455600290738308</v>
      </c>
      <c r="J64" s="390">
        <f>SUM(J65:J66)</f>
        <v>0</v>
      </c>
    </row>
    <row r="65" spans="1:10" ht="12.75">
      <c r="A65" s="388" t="s">
        <v>951</v>
      </c>
      <c r="B65" s="389">
        <v>17805500</v>
      </c>
      <c r="C65" s="389">
        <v>17805500</v>
      </c>
      <c r="D65" s="389">
        <v>4744690.06</v>
      </c>
      <c r="E65" s="389">
        <f t="shared" si="1"/>
        <v>26.64732840976103</v>
      </c>
      <c r="F65" s="389">
        <v>1820759.02</v>
      </c>
      <c r="G65" s="118">
        <f t="shared" si="2"/>
        <v>10.225823593833367</v>
      </c>
      <c r="H65" s="118">
        <v>975761.39</v>
      </c>
      <c r="I65" s="118">
        <f t="shared" si="3"/>
        <v>5.480112268681026</v>
      </c>
      <c r="J65" s="390"/>
    </row>
    <row r="66" spans="1:10" ht="12.75">
      <c r="A66" s="393" t="s">
        <v>954</v>
      </c>
      <c r="B66" s="394">
        <v>80000</v>
      </c>
      <c r="C66" s="394">
        <v>80000</v>
      </c>
      <c r="D66" s="394">
        <v>0</v>
      </c>
      <c r="E66" s="394">
        <f t="shared" si="1"/>
        <v>0</v>
      </c>
      <c r="F66" s="394">
        <v>0</v>
      </c>
      <c r="G66" s="133">
        <f t="shared" si="2"/>
        <v>0</v>
      </c>
      <c r="H66" s="133">
        <v>0</v>
      </c>
      <c r="I66" s="133">
        <f t="shared" si="3"/>
        <v>0</v>
      </c>
      <c r="J66" s="327"/>
    </row>
    <row r="67" spans="1:10" ht="12.75">
      <c r="A67" s="682" t="s">
        <v>1046</v>
      </c>
      <c r="B67" s="656">
        <f>B46+B49+B52+B55+B58+B61+B64</f>
        <v>187148500</v>
      </c>
      <c r="C67" s="656">
        <f>C46+C49+C52+C55+C58+C61+C64</f>
        <v>196957578.11</v>
      </c>
      <c r="D67" s="656">
        <f>D46+D49+D52+D55+D58+D61+D64</f>
        <v>70128594.47</v>
      </c>
      <c r="E67" s="656">
        <f t="shared" si="1"/>
        <v>35.6059386711353</v>
      </c>
      <c r="F67" s="656">
        <f>F46+F49+F52+F55+F58+F61+F64</f>
        <v>29439278.98</v>
      </c>
      <c r="G67" s="656">
        <f t="shared" si="2"/>
        <v>14.947015119955568</v>
      </c>
      <c r="H67" s="656">
        <f>H46+H49+H52+H55+H58+H61+H64</f>
        <v>18326864.03</v>
      </c>
      <c r="I67" s="656">
        <f t="shared" si="3"/>
        <v>9.304980395201916</v>
      </c>
      <c r="J67" s="656">
        <f>J46+J49+J52+J55+J58+J61+J64</f>
        <v>0</v>
      </c>
    </row>
    <row r="68" spans="1:8" ht="12.75">
      <c r="A68" s="382"/>
      <c r="B68" s="383"/>
      <c r="C68" s="382"/>
      <c r="D68" s="382"/>
      <c r="E68" s="382"/>
      <c r="F68" s="382"/>
      <c r="G68" s="382"/>
      <c r="H68" s="384"/>
    </row>
    <row r="69" spans="1:4" ht="12.75">
      <c r="A69" s="873" t="s">
        <v>961</v>
      </c>
      <c r="B69" s="873" t="s">
        <v>104</v>
      </c>
      <c r="C69" s="873" t="s">
        <v>105</v>
      </c>
      <c r="D69" s="873" t="s">
        <v>944</v>
      </c>
    </row>
    <row r="70" spans="1:4" ht="12.75">
      <c r="A70" s="874"/>
      <c r="B70" s="874"/>
      <c r="C70" s="874"/>
      <c r="D70" s="874"/>
    </row>
    <row r="71" spans="1:4" ht="13.5" thickBot="1">
      <c r="A71" s="875"/>
      <c r="B71" s="663" t="s">
        <v>108</v>
      </c>
      <c r="C71" s="663" t="s">
        <v>109</v>
      </c>
      <c r="D71" s="663" t="s">
        <v>190</v>
      </c>
    </row>
    <row r="72" spans="1:4" ht="12.75">
      <c r="A72" s="397" t="s">
        <v>962</v>
      </c>
      <c r="B72" s="398">
        <f>D67</f>
        <v>70128594.47</v>
      </c>
      <c r="C72" s="399">
        <f>F67</f>
        <v>29439278.98</v>
      </c>
      <c r="D72" s="398">
        <f>H67</f>
        <v>18326864.03</v>
      </c>
    </row>
    <row r="73" spans="1:4" ht="25.5">
      <c r="A73" s="400" t="s">
        <v>963</v>
      </c>
      <c r="B73" s="401"/>
      <c r="C73" s="402"/>
      <c r="D73" s="401"/>
    </row>
    <row r="74" spans="1:4" ht="25.5">
      <c r="A74" s="400" t="s">
        <v>964</v>
      </c>
      <c r="B74" s="401"/>
      <c r="C74" s="402"/>
      <c r="D74" s="401"/>
    </row>
    <row r="75" spans="1:4" ht="25.5">
      <c r="A75" s="403" t="s">
        <v>965</v>
      </c>
      <c r="B75" s="118"/>
      <c r="C75" s="116"/>
      <c r="D75" s="118"/>
    </row>
    <row r="76" spans="1:4" ht="12.75">
      <c r="A76" s="682" t="s">
        <v>966</v>
      </c>
      <c r="B76" s="685">
        <f>B72-B73-B74-B75</f>
        <v>70128594.47</v>
      </c>
      <c r="C76" s="685">
        <f>C72-C73-C74-C75</f>
        <v>29439278.98</v>
      </c>
      <c r="D76" s="685">
        <f>D72-D73-D74-D75</f>
        <v>18326864.03</v>
      </c>
    </row>
    <row r="77" spans="1:6" ht="12.75">
      <c r="A77" s="404" t="s">
        <v>967</v>
      </c>
      <c r="B77" s="405">
        <f>ROUND(D41*15/100,2)</f>
        <v>21952929.3</v>
      </c>
      <c r="C77" s="405">
        <f>ROUND(D41*15/100,2)</f>
        <v>21952929.3</v>
      </c>
      <c r="D77" s="405">
        <f>ROUND(D41*15/100,2)</f>
        <v>21952929.3</v>
      </c>
      <c r="E77" s="382"/>
      <c r="F77" s="384"/>
    </row>
    <row r="78" spans="1:6" ht="12.75">
      <c r="A78" s="406" t="s">
        <v>968</v>
      </c>
      <c r="B78" s="407">
        <f>ROUND(D42*15/100,2)</f>
        <v>0</v>
      </c>
      <c r="C78" s="407">
        <f>ROUND(D42*15/100,2)</f>
        <v>0</v>
      </c>
      <c r="D78" s="407">
        <f>ROUND(D42*15/100,2)</f>
        <v>0</v>
      </c>
      <c r="E78" s="382"/>
      <c r="F78" s="384"/>
    </row>
    <row r="79" spans="1:6" ht="12.75">
      <c r="A79" s="406" t="s">
        <v>969</v>
      </c>
      <c r="B79" s="407">
        <f>B76-B77</f>
        <v>48175665.17</v>
      </c>
      <c r="C79" s="407">
        <f>C76-C77</f>
        <v>7486349.68</v>
      </c>
      <c r="D79" s="407">
        <f>D76-D77</f>
        <v>-3626065.2699999996</v>
      </c>
      <c r="E79" s="382"/>
      <c r="F79" s="384"/>
    </row>
    <row r="80" spans="1:6" ht="12.75">
      <c r="A80" s="408" t="s">
        <v>970</v>
      </c>
      <c r="B80" s="409">
        <f>IF(B79&lt;0,B79*-1*100,0)</f>
        <v>0</v>
      </c>
      <c r="C80" s="151"/>
      <c r="D80" s="154"/>
      <c r="E80" s="382"/>
      <c r="F80" s="384"/>
    </row>
    <row r="81" spans="1:6" ht="42.75">
      <c r="A81" s="684" t="s">
        <v>971</v>
      </c>
      <c r="B81" s="656">
        <f>IF(D41&gt;0,B76/D41*100,0)</f>
        <v>47.917473906602865</v>
      </c>
      <c r="C81" s="656">
        <f>IF(D41&gt;0,C76/D41*100,0)</f>
        <v>20.115273848199116</v>
      </c>
      <c r="D81" s="656">
        <f>IF(D41&gt;0,D76/D41*100,0)</f>
        <v>12.522381712969525</v>
      </c>
      <c r="E81" s="382"/>
      <c r="F81" s="384"/>
    </row>
    <row r="82" spans="1:8" ht="12.75">
      <c r="A82" s="382"/>
      <c r="B82" s="383"/>
      <c r="C82" s="382"/>
      <c r="D82" s="382"/>
      <c r="E82" s="382"/>
      <c r="F82" s="382"/>
      <c r="G82" s="382"/>
      <c r="H82" s="384"/>
    </row>
    <row r="83" spans="1:7" ht="31.5" customHeight="1">
      <c r="A83" s="883" t="s">
        <v>972</v>
      </c>
      <c r="B83" s="873" t="s">
        <v>981</v>
      </c>
      <c r="C83" s="887" t="s">
        <v>977</v>
      </c>
      <c r="D83" s="888"/>
      <c r="E83" s="889"/>
      <c r="F83" s="873" t="s">
        <v>982</v>
      </c>
      <c r="G83" s="384"/>
    </row>
    <row r="84" spans="1:7" ht="12.75">
      <c r="A84" s="884"/>
      <c r="B84" s="874"/>
      <c r="C84" s="677" t="s">
        <v>980</v>
      </c>
      <c r="D84" s="657" t="s">
        <v>979</v>
      </c>
      <c r="E84" s="676" t="s">
        <v>978</v>
      </c>
      <c r="F84" s="874"/>
      <c r="G84" s="384"/>
    </row>
    <row r="85" spans="1:7" ht="12.75">
      <c r="A85" s="885"/>
      <c r="B85" s="678" t="s">
        <v>111</v>
      </c>
      <c r="C85" s="678" t="s">
        <v>328</v>
      </c>
      <c r="D85" s="666" t="s">
        <v>326</v>
      </c>
      <c r="E85" s="679" t="s">
        <v>327</v>
      </c>
      <c r="F85" s="681" t="s">
        <v>983</v>
      </c>
      <c r="G85" s="384"/>
    </row>
    <row r="86" spans="1:7" ht="12.75">
      <c r="A86" s="410" t="s">
        <v>973</v>
      </c>
      <c r="B86" s="151"/>
      <c r="C86" s="151"/>
      <c r="D86" s="151"/>
      <c r="E86" s="151"/>
      <c r="F86" s="387">
        <f>B80</f>
        <v>0</v>
      </c>
      <c r="G86" s="384"/>
    </row>
    <row r="87" spans="1:7" ht="12.75">
      <c r="A87" s="411" t="s">
        <v>974</v>
      </c>
      <c r="B87" s="402"/>
      <c r="C87" s="402"/>
      <c r="D87" s="390"/>
      <c r="E87" s="390"/>
      <c r="F87" s="390"/>
      <c r="G87" s="384"/>
    </row>
    <row r="88" spans="1:7" ht="12.75">
      <c r="A88" s="411" t="s">
        <v>975</v>
      </c>
      <c r="B88" s="402"/>
      <c r="C88" s="402"/>
      <c r="D88" s="390"/>
      <c r="E88" s="390"/>
      <c r="F88" s="390"/>
      <c r="G88" s="384"/>
    </row>
    <row r="89" spans="1:7" ht="12.75">
      <c r="A89" s="682" t="s">
        <v>976</v>
      </c>
      <c r="B89" s="683">
        <f>B87+B88</f>
        <v>0</v>
      </c>
      <c r="C89" s="683">
        <f>C87+C88</f>
        <v>0</v>
      </c>
      <c r="D89" s="683">
        <f>D87+D88</f>
        <v>0</v>
      </c>
      <c r="E89" s="683">
        <f>E87+E88</f>
        <v>0</v>
      </c>
      <c r="F89" s="683">
        <f>F87+F88</f>
        <v>0</v>
      </c>
      <c r="G89" s="384"/>
    </row>
    <row r="90" spans="1:8" ht="12.75">
      <c r="A90" s="382"/>
      <c r="B90" s="383"/>
      <c r="C90" s="382"/>
      <c r="D90" s="382"/>
      <c r="E90" s="382"/>
      <c r="F90" s="382"/>
      <c r="G90" s="382"/>
      <c r="H90" s="384"/>
    </row>
    <row r="91" spans="1:10" ht="21" customHeight="1">
      <c r="A91" s="894" t="s">
        <v>984</v>
      </c>
      <c r="B91" s="895"/>
      <c r="C91" s="895"/>
      <c r="D91" s="895"/>
      <c r="E91" s="895"/>
      <c r="F91" s="895"/>
      <c r="G91" s="895"/>
      <c r="H91" s="895"/>
      <c r="I91" s="895"/>
      <c r="J91" s="895"/>
    </row>
    <row r="92" spans="1:10" ht="71.25" customHeight="1">
      <c r="A92" s="893" t="s">
        <v>985</v>
      </c>
      <c r="B92" s="657" t="s">
        <v>988</v>
      </c>
      <c r="C92" s="657" t="s">
        <v>990</v>
      </c>
      <c r="D92" s="657" t="s">
        <v>992</v>
      </c>
      <c r="E92" s="657" t="s">
        <v>994</v>
      </c>
      <c r="F92" s="657" t="s">
        <v>995</v>
      </c>
      <c r="G92" s="657" t="s">
        <v>997</v>
      </c>
      <c r="H92" s="657" t="s">
        <v>999</v>
      </c>
      <c r="I92" s="657" t="s">
        <v>1001</v>
      </c>
      <c r="J92" s="657" t="s">
        <v>1004</v>
      </c>
    </row>
    <row r="93" spans="1:10" ht="27" customHeight="1">
      <c r="A93" s="894"/>
      <c r="B93" s="678" t="s">
        <v>350</v>
      </c>
      <c r="C93" s="678" t="s">
        <v>989</v>
      </c>
      <c r="D93" s="678" t="s">
        <v>991</v>
      </c>
      <c r="E93" s="678" t="s">
        <v>993</v>
      </c>
      <c r="F93" s="678" t="s">
        <v>996</v>
      </c>
      <c r="G93" s="678" t="s">
        <v>998</v>
      </c>
      <c r="H93" s="678" t="s">
        <v>1000</v>
      </c>
      <c r="I93" s="677" t="s">
        <v>1002</v>
      </c>
      <c r="J93" s="666" t="s">
        <v>1003</v>
      </c>
    </row>
    <row r="94" spans="1:10" ht="12.75">
      <c r="A94" s="412" t="s">
        <v>349</v>
      </c>
      <c r="B94" s="413">
        <f>B77</f>
        <v>21952929.3</v>
      </c>
      <c r="C94" s="398">
        <f>B76</f>
        <v>70128594.47</v>
      </c>
      <c r="D94" s="398">
        <f>IF(B80&gt;0,B80,0)</f>
        <v>0</v>
      </c>
      <c r="E94" s="398">
        <v>51801730.44</v>
      </c>
      <c r="F94" s="398">
        <f>B73</f>
        <v>0</v>
      </c>
      <c r="G94" s="387">
        <f aca="true" t="shared" si="4" ref="G94:G99">E94-D94-F94</f>
        <v>51801730.44</v>
      </c>
      <c r="H94" s="151"/>
      <c r="I94" s="414">
        <f>E94</f>
        <v>51801730.44</v>
      </c>
      <c r="J94" s="725"/>
    </row>
    <row r="95" spans="1:10" ht="12.75">
      <c r="A95" s="415" t="s">
        <v>633</v>
      </c>
      <c r="B95" s="416"/>
      <c r="C95" s="401"/>
      <c r="D95" s="401"/>
      <c r="E95" s="401">
        <v>10353259.35</v>
      </c>
      <c r="F95" s="401"/>
      <c r="G95" s="390">
        <f t="shared" si="4"/>
        <v>10353259.35</v>
      </c>
      <c r="H95" s="723">
        <v>9082627.6</v>
      </c>
      <c r="I95" s="417">
        <f>SUM(G95-H95-J95)</f>
        <v>1048580.47</v>
      </c>
      <c r="J95" s="726">
        <v>222051.28</v>
      </c>
    </row>
    <row r="96" spans="1:10" ht="12.75">
      <c r="A96" s="415" t="s">
        <v>634</v>
      </c>
      <c r="B96" s="416"/>
      <c r="C96" s="401"/>
      <c r="D96" s="401"/>
      <c r="E96" s="401">
        <v>16057501.8</v>
      </c>
      <c r="F96" s="401"/>
      <c r="G96" s="390">
        <f t="shared" si="4"/>
        <v>16057501.8</v>
      </c>
      <c r="H96" s="723">
        <v>15534975.98</v>
      </c>
      <c r="I96" s="417">
        <f>SUM(G96-H96-J96)</f>
        <v>2.9103830456733704E-10</v>
      </c>
      <c r="J96" s="726">
        <v>522525.82</v>
      </c>
    </row>
    <row r="97" spans="1:10" ht="12.75">
      <c r="A97" s="415" t="s">
        <v>986</v>
      </c>
      <c r="B97" s="416"/>
      <c r="C97" s="401"/>
      <c r="D97" s="401"/>
      <c r="E97" s="401">
        <v>17064176.83</v>
      </c>
      <c r="F97" s="401"/>
      <c r="G97" s="390">
        <f t="shared" si="4"/>
        <v>17064176.83</v>
      </c>
      <c r="H97" s="723">
        <v>16346975.38</v>
      </c>
      <c r="I97" s="417">
        <f>SUM(G97-H97-J97)</f>
        <v>-2.561137080192566E-09</v>
      </c>
      <c r="J97" s="726">
        <v>717201.45</v>
      </c>
    </row>
    <row r="98" spans="1:10" ht="12.75">
      <c r="A98" s="415" t="s">
        <v>482</v>
      </c>
      <c r="B98" s="416"/>
      <c r="C98" s="401"/>
      <c r="D98" s="401"/>
      <c r="E98" s="401">
        <v>13078633.88</v>
      </c>
      <c r="F98" s="401"/>
      <c r="G98" s="390">
        <f t="shared" si="4"/>
        <v>13078633.88</v>
      </c>
      <c r="H98" s="723">
        <v>12856051.16</v>
      </c>
      <c r="I98" s="417">
        <f>SUM(G98-H98-J98)</f>
        <v>6.693881005048752E-10</v>
      </c>
      <c r="J98" s="726">
        <v>222582.72</v>
      </c>
    </row>
    <row r="99" spans="1:10" ht="12.75">
      <c r="A99" s="418" t="s">
        <v>987</v>
      </c>
      <c r="B99" s="419"/>
      <c r="C99" s="409"/>
      <c r="D99" s="409"/>
      <c r="E99" s="409">
        <v>13139552.51</v>
      </c>
      <c r="F99" s="409"/>
      <c r="G99" s="409">
        <f t="shared" si="4"/>
        <v>13139552.51</v>
      </c>
      <c r="H99" s="724">
        <v>12855574.73</v>
      </c>
      <c r="I99" s="420">
        <f>SUM(G99-H99-J99)</f>
        <v>-6.984919309616089E-10</v>
      </c>
      <c r="J99" s="727">
        <v>283977.78</v>
      </c>
    </row>
    <row r="100" spans="1:8" ht="12.75">
      <c r="A100" s="382"/>
      <c r="B100" s="383"/>
      <c r="C100" s="382"/>
      <c r="D100" s="382"/>
      <c r="E100" s="382"/>
      <c r="F100" s="382"/>
      <c r="G100" s="382"/>
      <c r="H100" s="384"/>
    </row>
    <row r="101" spans="1:8" ht="21">
      <c r="A101" s="654" t="s">
        <v>1005</v>
      </c>
      <c r="B101" s="656">
        <v>222051.28</v>
      </c>
      <c r="C101" s="382"/>
      <c r="D101" s="382"/>
      <c r="E101" s="382"/>
      <c r="F101" s="382"/>
      <c r="G101" s="382"/>
      <c r="H101" s="384"/>
    </row>
    <row r="102" spans="1:8" ht="21">
      <c r="A102" s="654" t="s">
        <v>1006</v>
      </c>
      <c r="B102" s="656"/>
      <c r="C102" s="382"/>
      <c r="D102" s="382"/>
      <c r="E102" s="382"/>
      <c r="F102" s="382"/>
      <c r="G102" s="382"/>
      <c r="H102" s="384"/>
    </row>
    <row r="103" spans="1:8" ht="21">
      <c r="A103" s="654" t="s">
        <v>1007</v>
      </c>
      <c r="B103" s="656">
        <f>B101-B102</f>
        <v>222051.28</v>
      </c>
      <c r="C103" s="382"/>
      <c r="D103" s="382"/>
      <c r="E103" s="382"/>
      <c r="F103" s="382"/>
      <c r="G103" s="382"/>
      <c r="H103" s="384"/>
    </row>
    <row r="104" spans="1:8" ht="12.75">
      <c r="A104" s="382"/>
      <c r="B104" s="383"/>
      <c r="C104" s="382"/>
      <c r="D104" s="382"/>
      <c r="E104" s="382"/>
      <c r="F104" s="382"/>
      <c r="G104" s="382"/>
      <c r="H104" s="384"/>
    </row>
    <row r="105" spans="1:8" ht="12.75">
      <c r="A105" s="382"/>
      <c r="B105" s="383"/>
      <c r="C105" s="382"/>
      <c r="D105" s="382"/>
      <c r="E105" s="382"/>
      <c r="F105" s="382"/>
      <c r="G105" s="382"/>
      <c r="H105" s="384"/>
    </row>
    <row r="106" spans="1:8" ht="12.75">
      <c r="A106" s="382"/>
      <c r="B106" s="383"/>
      <c r="C106" s="382"/>
      <c r="D106" s="382"/>
      <c r="E106" s="382"/>
      <c r="F106" s="382"/>
      <c r="G106" s="382"/>
      <c r="H106" s="384"/>
    </row>
    <row r="107" spans="1:8" ht="12.75">
      <c r="A107" s="382"/>
      <c r="B107" s="383"/>
      <c r="C107" s="382"/>
      <c r="D107" s="382"/>
      <c r="E107" s="382"/>
      <c r="F107" s="382"/>
      <c r="G107" s="382"/>
      <c r="H107" s="384"/>
    </row>
    <row r="108" spans="1:8" ht="12.75">
      <c r="A108" s="382"/>
      <c r="B108" s="383"/>
      <c r="C108" s="382"/>
      <c r="D108" s="382"/>
      <c r="E108" s="382"/>
      <c r="F108" s="382"/>
      <c r="G108" s="382"/>
      <c r="H108" s="384"/>
    </row>
    <row r="109" spans="1:8" ht="12.75">
      <c r="A109" s="382"/>
      <c r="B109" s="383"/>
      <c r="C109" s="382"/>
      <c r="D109" s="382"/>
      <c r="E109" s="382"/>
      <c r="F109" s="382"/>
      <c r="G109" s="382"/>
      <c r="H109" s="384"/>
    </row>
    <row r="110" spans="1:8" ht="12.75">
      <c r="A110" s="382"/>
      <c r="B110" s="383"/>
      <c r="C110" s="382"/>
      <c r="D110" s="382"/>
      <c r="E110" s="382"/>
      <c r="F110" s="382"/>
      <c r="G110" s="382"/>
      <c r="H110" s="384"/>
    </row>
    <row r="111" spans="1:8" ht="12.75">
      <c r="A111" s="382"/>
      <c r="B111" s="383"/>
      <c r="C111" s="382"/>
      <c r="D111" s="382"/>
      <c r="E111" s="382"/>
      <c r="F111" s="382"/>
      <c r="G111" s="382"/>
      <c r="H111" s="384"/>
    </row>
    <row r="112" spans="1:8" ht="12.75">
      <c r="A112" s="382"/>
      <c r="B112" s="383"/>
      <c r="C112" s="382"/>
      <c r="D112" s="382"/>
      <c r="E112" s="382"/>
      <c r="F112" s="382"/>
      <c r="G112" s="382"/>
      <c r="H112" s="384"/>
    </row>
    <row r="113" spans="1:8" ht="12.75">
      <c r="A113" s="382"/>
      <c r="B113" s="383"/>
      <c r="C113" s="382"/>
      <c r="D113" s="382"/>
      <c r="E113" s="382"/>
      <c r="F113" s="382"/>
      <c r="G113" s="382"/>
      <c r="H113" s="384"/>
    </row>
    <row r="114" spans="1:8" ht="31.5" customHeight="1">
      <c r="A114" s="883" t="s">
        <v>1008</v>
      </c>
      <c r="B114" s="873" t="s">
        <v>981</v>
      </c>
      <c r="C114" s="887" t="s">
        <v>977</v>
      </c>
      <c r="D114" s="888"/>
      <c r="E114" s="889"/>
      <c r="F114" s="873" t="s">
        <v>982</v>
      </c>
      <c r="G114" s="382"/>
      <c r="H114" s="384"/>
    </row>
    <row r="115" spans="1:8" ht="12.75">
      <c r="A115" s="884"/>
      <c r="B115" s="874"/>
      <c r="C115" s="677" t="s">
        <v>980</v>
      </c>
      <c r="D115" s="657" t="s">
        <v>979</v>
      </c>
      <c r="E115" s="676" t="s">
        <v>978</v>
      </c>
      <c r="F115" s="874"/>
      <c r="G115" s="382"/>
      <c r="H115" s="384"/>
    </row>
    <row r="116" spans="1:8" ht="24.75" customHeight="1">
      <c r="A116" s="885"/>
      <c r="B116" s="678" t="s">
        <v>1010</v>
      </c>
      <c r="C116" s="678" t="s">
        <v>1011</v>
      </c>
      <c r="D116" s="666" t="s">
        <v>1012</v>
      </c>
      <c r="E116" s="679" t="s">
        <v>1013</v>
      </c>
      <c r="F116" s="666" t="s">
        <v>1014</v>
      </c>
      <c r="G116" s="382"/>
      <c r="H116" s="384"/>
    </row>
    <row r="117" spans="1:8" ht="12.75">
      <c r="A117" s="410" t="s">
        <v>973</v>
      </c>
      <c r="B117" s="402"/>
      <c r="C117" s="402"/>
      <c r="D117" s="390"/>
      <c r="E117" s="390"/>
      <c r="F117" s="390">
        <f>B117-C117</f>
        <v>0</v>
      </c>
      <c r="G117" s="382"/>
      <c r="H117" s="384"/>
    </row>
    <row r="118" spans="1:8" ht="12.75">
      <c r="A118" s="411" t="s">
        <v>974</v>
      </c>
      <c r="B118" s="402"/>
      <c r="C118" s="402"/>
      <c r="D118" s="390"/>
      <c r="E118" s="390"/>
      <c r="F118" s="390">
        <f>B118-C118</f>
        <v>0</v>
      </c>
      <c r="G118" s="382"/>
      <c r="H118" s="384"/>
    </row>
    <row r="119" spans="1:8" ht="12.75">
      <c r="A119" s="411" t="s">
        <v>975</v>
      </c>
      <c r="B119" s="402"/>
      <c r="C119" s="402"/>
      <c r="D119" s="390"/>
      <c r="E119" s="390"/>
      <c r="F119" s="390">
        <f>B119-C119</f>
        <v>0</v>
      </c>
      <c r="G119" s="382"/>
      <c r="H119" s="384"/>
    </row>
    <row r="120" spans="1:8" ht="12.75">
      <c r="A120" s="395" t="s">
        <v>1009</v>
      </c>
      <c r="B120" s="396">
        <f>SUM(B117:B119)</f>
        <v>0</v>
      </c>
      <c r="C120" s="396">
        <f>SUM(C117:C119)</f>
        <v>0</v>
      </c>
      <c r="D120" s="396">
        <f>SUM(D117:D119)</f>
        <v>0</v>
      </c>
      <c r="E120" s="396">
        <f>SUM(E117:E119)</f>
        <v>0</v>
      </c>
      <c r="F120" s="396">
        <f>SUM(F117:F119)</f>
        <v>0</v>
      </c>
      <c r="G120" s="382"/>
      <c r="H120" s="384"/>
    </row>
    <row r="121" spans="1:8" ht="12.75">
      <c r="A121" s="382"/>
      <c r="B121" s="383"/>
      <c r="C121" s="382"/>
      <c r="D121" s="382"/>
      <c r="E121" s="382"/>
      <c r="F121" s="382"/>
      <c r="G121" s="382"/>
      <c r="H121" s="384"/>
    </row>
    <row r="122" spans="1:5" ht="12.75">
      <c r="A122" s="873" t="s">
        <v>1018</v>
      </c>
      <c r="B122" s="659" t="s">
        <v>71</v>
      </c>
      <c r="C122" s="659" t="s">
        <v>71</v>
      </c>
      <c r="D122" s="871" t="s">
        <v>72</v>
      </c>
      <c r="E122" s="872"/>
    </row>
    <row r="123" spans="1:5" ht="12.75">
      <c r="A123" s="874"/>
      <c r="B123" s="663" t="s">
        <v>74</v>
      </c>
      <c r="C123" s="663" t="s">
        <v>75</v>
      </c>
      <c r="D123" s="673" t="str">
        <f>CONCATENATE("Até o  ",B13)</f>
        <v>Até o  Bimestre</v>
      </c>
      <c r="E123" s="659" t="s">
        <v>77</v>
      </c>
    </row>
    <row r="124" spans="1:5" ht="12.75">
      <c r="A124" s="875"/>
      <c r="B124" s="674"/>
      <c r="C124" s="668" t="s">
        <v>100</v>
      </c>
      <c r="D124" s="668" t="s">
        <v>108</v>
      </c>
      <c r="E124" s="663" t="s">
        <v>171</v>
      </c>
    </row>
    <row r="125" spans="1:5" ht="12.75">
      <c r="A125" s="421" t="s">
        <v>1015</v>
      </c>
      <c r="B125" s="214">
        <f>SUM(B126:B128)</f>
        <v>52865000</v>
      </c>
      <c r="C125" s="214">
        <f>SUM(C126:C128)</f>
        <v>52865000</v>
      </c>
      <c r="D125" s="214">
        <f>SUM(D126:D128)</f>
        <v>8805815.69</v>
      </c>
      <c r="E125" s="137">
        <f aca="true" t="shared" si="5" ref="E125:E131">IF(C125&gt;0,D125/C125*100,0)</f>
        <v>16.65717523881585</v>
      </c>
    </row>
    <row r="126" spans="1:5" ht="12.75">
      <c r="A126" s="421" t="s">
        <v>353</v>
      </c>
      <c r="B126" s="217">
        <v>51506000</v>
      </c>
      <c r="C126" s="217">
        <v>51506000</v>
      </c>
      <c r="D126" s="217">
        <v>8805815.69</v>
      </c>
      <c r="E126" s="215">
        <f t="shared" si="5"/>
        <v>17.096679396575155</v>
      </c>
    </row>
    <row r="127" spans="1:5" ht="12.75">
      <c r="A127" s="421" t="s">
        <v>562</v>
      </c>
      <c r="B127" s="217">
        <v>1359000</v>
      </c>
      <c r="C127" s="217">
        <v>1359000</v>
      </c>
      <c r="D127" s="217">
        <v>0</v>
      </c>
      <c r="E127" s="215">
        <f t="shared" si="5"/>
        <v>0</v>
      </c>
    </row>
    <row r="128" spans="1:5" ht="12.75">
      <c r="A128" s="421" t="s">
        <v>563</v>
      </c>
      <c r="B128" s="217"/>
      <c r="C128" s="217"/>
      <c r="D128" s="217"/>
      <c r="E128" s="215">
        <f t="shared" si="5"/>
        <v>0</v>
      </c>
    </row>
    <row r="129" spans="1:5" ht="12.75">
      <c r="A129" s="421" t="s">
        <v>1016</v>
      </c>
      <c r="B129" s="217"/>
      <c r="C129" s="217"/>
      <c r="D129" s="217"/>
      <c r="E129" s="215">
        <f t="shared" si="5"/>
        <v>0</v>
      </c>
    </row>
    <row r="130" spans="1:5" ht="12.75">
      <c r="A130" s="422" t="s">
        <v>1017</v>
      </c>
      <c r="B130" s="423">
        <v>310000</v>
      </c>
      <c r="C130" s="423">
        <v>310000.31</v>
      </c>
      <c r="D130" s="217">
        <v>20023.24</v>
      </c>
      <c r="E130" s="424">
        <f t="shared" si="5"/>
        <v>6.4591032183161365</v>
      </c>
    </row>
    <row r="131" spans="1:5" ht="21">
      <c r="A131" s="654" t="s">
        <v>1019</v>
      </c>
      <c r="B131" s="672">
        <f>B125+B129+B130</f>
        <v>53175000</v>
      </c>
      <c r="C131" s="672">
        <f>C125+C129+C130</f>
        <v>53175000.31</v>
      </c>
      <c r="D131" s="672">
        <f>D125+D129+D130</f>
        <v>8825838.93</v>
      </c>
      <c r="E131" s="672">
        <f t="shared" si="5"/>
        <v>16.59772238560801</v>
      </c>
    </row>
    <row r="132" spans="1:8" ht="12.75">
      <c r="A132" s="383"/>
      <c r="B132" s="425"/>
      <c r="C132" s="425"/>
      <c r="D132" s="425"/>
      <c r="E132" s="425"/>
      <c r="F132" s="384"/>
      <c r="G132" s="384"/>
      <c r="H132" s="384"/>
    </row>
    <row r="133" spans="1:10" ht="31.5">
      <c r="A133" s="876" t="s">
        <v>348</v>
      </c>
      <c r="B133" s="658" t="s">
        <v>103</v>
      </c>
      <c r="C133" s="659" t="s">
        <v>103</v>
      </c>
      <c r="D133" s="879" t="s">
        <v>104</v>
      </c>
      <c r="E133" s="880"/>
      <c r="F133" s="879" t="s">
        <v>105</v>
      </c>
      <c r="G133" s="880"/>
      <c r="H133" s="879" t="s">
        <v>944</v>
      </c>
      <c r="I133" s="880"/>
      <c r="J133" s="661" t="s">
        <v>635</v>
      </c>
    </row>
    <row r="134" spans="1:10" ht="12.75">
      <c r="A134" s="877"/>
      <c r="B134" s="662" t="s">
        <v>74</v>
      </c>
      <c r="C134" s="663" t="s">
        <v>75</v>
      </c>
      <c r="D134" s="659" t="str">
        <f>CONCATENATE("Até o  ",B13)</f>
        <v>Até o  Bimestre</v>
      </c>
      <c r="E134" s="664" t="s">
        <v>77</v>
      </c>
      <c r="F134" s="659" t="str">
        <f>CONCATENATE("Até o  ",B13)</f>
        <v>Até o  Bimestre</v>
      </c>
      <c r="G134" s="664" t="s">
        <v>77</v>
      </c>
      <c r="H134" s="659" t="str">
        <f>CONCATENATE("Até o  ",D13)</f>
        <v>Até o  </v>
      </c>
      <c r="I134" s="664" t="s">
        <v>77</v>
      </c>
      <c r="J134" s="665"/>
    </row>
    <row r="135" spans="1:10" ht="12.75">
      <c r="A135" s="878"/>
      <c r="B135" s="667"/>
      <c r="C135" s="668" t="s">
        <v>100</v>
      </c>
      <c r="D135" s="669" t="s">
        <v>108</v>
      </c>
      <c r="E135" s="670" t="s">
        <v>1028</v>
      </c>
      <c r="F135" s="669" t="s">
        <v>109</v>
      </c>
      <c r="G135" s="670" t="s">
        <v>1029</v>
      </c>
      <c r="H135" s="669" t="s">
        <v>190</v>
      </c>
      <c r="I135" s="670" t="s">
        <v>1030</v>
      </c>
      <c r="J135" s="671" t="s">
        <v>110</v>
      </c>
    </row>
    <row r="136" spans="1:10" ht="12.75">
      <c r="A136" s="426" t="s">
        <v>1020</v>
      </c>
      <c r="B136" s="427">
        <f>SUM(B137:B138)</f>
        <v>12338000</v>
      </c>
      <c r="C136" s="427">
        <f>SUM(C137:C138)</f>
        <v>12722759.29</v>
      </c>
      <c r="D136" s="427">
        <f>SUM(D137:D138)</f>
        <v>2483803.52</v>
      </c>
      <c r="E136" s="428">
        <f aca="true" t="shared" si="6" ref="E136:E157">IF(C136&gt;0,D136/C136*100,0)</f>
        <v>19.522522303414576</v>
      </c>
      <c r="F136" s="429">
        <f>SUM(F137:F138)</f>
        <v>2096280.47</v>
      </c>
      <c r="G136" s="137">
        <f aca="true" t="shared" si="7" ref="G136:G157">IF(C136&gt;0,F136/C136*100,0)</f>
        <v>16.476618178634112</v>
      </c>
      <c r="H136" s="429">
        <f>SUM(H137:H138)</f>
        <v>1061759.2</v>
      </c>
      <c r="I136" s="137">
        <f aca="true" t="shared" si="8" ref="I136:I157">IF(C136&gt;0,H136/C136*100,0)</f>
        <v>8.345353203644553</v>
      </c>
      <c r="J136" s="427">
        <f>SUM(J137:J138)</f>
        <v>0</v>
      </c>
    </row>
    <row r="137" spans="1:10" ht="12.75">
      <c r="A137" s="430" t="s">
        <v>951</v>
      </c>
      <c r="B137" s="431">
        <v>12338000</v>
      </c>
      <c r="C137" s="431">
        <v>12591445.29</v>
      </c>
      <c r="D137" s="431">
        <v>2483803.52</v>
      </c>
      <c r="E137" s="428">
        <f t="shared" si="6"/>
        <v>19.72611930397388</v>
      </c>
      <c r="F137" s="432">
        <v>2096280.47</v>
      </c>
      <c r="G137" s="215">
        <f t="shared" si="7"/>
        <v>16.648449973132514</v>
      </c>
      <c r="H137" s="432">
        <v>1061759.2</v>
      </c>
      <c r="I137" s="215">
        <f t="shared" si="8"/>
        <v>8.43238544540426</v>
      </c>
      <c r="J137" s="431"/>
    </row>
    <row r="138" spans="1:10" ht="12.75">
      <c r="A138" s="430" t="s">
        <v>952</v>
      </c>
      <c r="B138" s="431">
        <v>0</v>
      </c>
      <c r="C138" s="431">
        <v>131314</v>
      </c>
      <c r="D138" s="431">
        <v>0</v>
      </c>
      <c r="E138" s="428">
        <f t="shared" si="6"/>
        <v>0</v>
      </c>
      <c r="F138" s="432">
        <v>0</v>
      </c>
      <c r="G138" s="215">
        <f t="shared" si="7"/>
        <v>0</v>
      </c>
      <c r="H138" s="432">
        <v>0</v>
      </c>
      <c r="I138" s="215">
        <f t="shared" si="8"/>
        <v>0</v>
      </c>
      <c r="J138" s="431"/>
    </row>
    <row r="139" spans="1:10" ht="12.75">
      <c r="A139" s="433" t="s">
        <v>1021</v>
      </c>
      <c r="B139" s="217">
        <f>SUM(B140:B141)</f>
        <v>37289000</v>
      </c>
      <c r="C139" s="217">
        <f>SUM(C140:C141)</f>
        <v>39457278.77</v>
      </c>
      <c r="D139" s="215">
        <f>SUM(D140:D141)</f>
        <v>33272382.96</v>
      </c>
      <c r="E139" s="428">
        <f t="shared" si="6"/>
        <v>84.32508271527716</v>
      </c>
      <c r="F139" s="217">
        <f>SUM(F140:F141)</f>
        <v>4334383.08</v>
      </c>
      <c r="G139" s="215">
        <f t="shared" si="7"/>
        <v>10.985002552420063</v>
      </c>
      <c r="H139" s="217">
        <f>SUM(H140:H141)</f>
        <v>3971302.12</v>
      </c>
      <c r="I139" s="215">
        <f t="shared" si="8"/>
        <v>10.064815019680081</v>
      </c>
      <c r="J139" s="215">
        <f>SUM(J140:J141)</f>
        <v>0</v>
      </c>
    </row>
    <row r="140" spans="1:10" ht="12.75">
      <c r="A140" s="430" t="s">
        <v>951</v>
      </c>
      <c r="B140" s="217">
        <v>37289000</v>
      </c>
      <c r="C140" s="217">
        <v>39386595.39</v>
      </c>
      <c r="D140" s="215">
        <v>33272382.96</v>
      </c>
      <c r="E140" s="428">
        <f t="shared" si="6"/>
        <v>84.47641292815993</v>
      </c>
      <c r="F140" s="217">
        <v>4334383.08</v>
      </c>
      <c r="G140" s="215">
        <f t="shared" si="7"/>
        <v>11.004716292641206</v>
      </c>
      <c r="H140" s="217">
        <v>3971302.12</v>
      </c>
      <c r="I140" s="215">
        <f t="shared" si="8"/>
        <v>10.082877386777858</v>
      </c>
      <c r="J140" s="215"/>
    </row>
    <row r="141" spans="1:10" ht="12.75">
      <c r="A141" s="430" t="s">
        <v>954</v>
      </c>
      <c r="B141" s="217">
        <v>0</v>
      </c>
      <c r="C141" s="217">
        <v>70683.38</v>
      </c>
      <c r="D141" s="215">
        <v>0</v>
      </c>
      <c r="E141" s="428">
        <f t="shared" si="6"/>
        <v>0</v>
      </c>
      <c r="F141" s="217">
        <v>0</v>
      </c>
      <c r="G141" s="215">
        <f t="shared" si="7"/>
        <v>0</v>
      </c>
      <c r="H141" s="217">
        <v>0</v>
      </c>
      <c r="I141" s="215">
        <f t="shared" si="8"/>
        <v>0</v>
      </c>
      <c r="J141" s="215"/>
    </row>
    <row r="142" spans="1:10" ht="12.75">
      <c r="A142" s="433" t="s">
        <v>1022</v>
      </c>
      <c r="B142" s="217">
        <f>SUM(B143:B144)</f>
        <v>2089500</v>
      </c>
      <c r="C142" s="217">
        <f>SUM(C143:C144)</f>
        <v>3178435.67</v>
      </c>
      <c r="D142" s="215">
        <f>SUM(D143:D144)</f>
        <v>807641</v>
      </c>
      <c r="E142" s="428">
        <f t="shared" si="6"/>
        <v>25.41001561312078</v>
      </c>
      <c r="F142" s="217">
        <f>SUM(F143:F144)</f>
        <v>351356.73</v>
      </c>
      <c r="G142" s="215">
        <f t="shared" si="7"/>
        <v>11.054391734786943</v>
      </c>
      <c r="H142" s="217">
        <f>SUM(H143:H144)</f>
        <v>10771.4</v>
      </c>
      <c r="I142" s="215">
        <f t="shared" si="8"/>
        <v>0.3388899797994024</v>
      </c>
      <c r="J142" s="215">
        <f>SUM(J143:J144)</f>
        <v>0</v>
      </c>
    </row>
    <row r="143" spans="1:10" ht="12.75">
      <c r="A143" s="430" t="s">
        <v>951</v>
      </c>
      <c r="B143" s="217">
        <v>2089500</v>
      </c>
      <c r="C143" s="217">
        <v>3178435.67</v>
      </c>
      <c r="D143" s="215">
        <v>807641</v>
      </c>
      <c r="E143" s="428">
        <f t="shared" si="6"/>
        <v>25.41001561312078</v>
      </c>
      <c r="F143" s="217">
        <v>351356.73</v>
      </c>
      <c r="G143" s="215">
        <f t="shared" si="7"/>
        <v>11.054391734786943</v>
      </c>
      <c r="H143" s="217">
        <v>10771.4</v>
      </c>
      <c r="I143" s="215">
        <f t="shared" si="8"/>
        <v>0.3388899797994024</v>
      </c>
      <c r="J143" s="215"/>
    </row>
    <row r="144" spans="1:10" ht="12.75">
      <c r="A144" s="430" t="s">
        <v>954</v>
      </c>
      <c r="B144" s="217"/>
      <c r="C144" s="217"/>
      <c r="D144" s="215"/>
      <c r="E144" s="428">
        <f t="shared" si="6"/>
        <v>0</v>
      </c>
      <c r="F144" s="217"/>
      <c r="G144" s="215">
        <f t="shared" si="7"/>
        <v>0</v>
      </c>
      <c r="H144" s="217"/>
      <c r="I144" s="215">
        <f t="shared" si="8"/>
        <v>0</v>
      </c>
      <c r="J144" s="215"/>
    </row>
    <row r="145" spans="1:10" ht="12.75">
      <c r="A145" s="433" t="s">
        <v>1023</v>
      </c>
      <c r="B145" s="217">
        <f>SUM(B146:B147)</f>
        <v>1166000</v>
      </c>
      <c r="C145" s="217">
        <f>SUM(C146:C147)</f>
        <v>1187059.59</v>
      </c>
      <c r="D145" s="215">
        <f>SUM(D146:D147)</f>
        <v>69654.6</v>
      </c>
      <c r="E145" s="428">
        <f t="shared" si="6"/>
        <v>5.867826736482538</v>
      </c>
      <c r="F145" s="217">
        <f>SUM(F146:F147)</f>
        <v>69654.6</v>
      </c>
      <c r="G145" s="215">
        <f t="shared" si="7"/>
        <v>5.867826736482538</v>
      </c>
      <c r="H145" s="217">
        <f>SUM(H146:H147)</f>
        <v>21059.59</v>
      </c>
      <c r="I145" s="215">
        <f t="shared" si="8"/>
        <v>1.7740971200948725</v>
      </c>
      <c r="J145" s="215">
        <f>SUM(J146:J147)</f>
        <v>0</v>
      </c>
    </row>
    <row r="146" spans="1:10" ht="12.75">
      <c r="A146" s="430" t="s">
        <v>951</v>
      </c>
      <c r="B146" s="217">
        <v>1121000</v>
      </c>
      <c r="C146" s="217">
        <v>1142059.59</v>
      </c>
      <c r="D146" s="215">
        <v>69654.6</v>
      </c>
      <c r="E146" s="428">
        <f t="shared" si="6"/>
        <v>6.099033764078808</v>
      </c>
      <c r="F146" s="217">
        <v>69654.6</v>
      </c>
      <c r="G146" s="215">
        <f t="shared" si="7"/>
        <v>6.099033764078808</v>
      </c>
      <c r="H146" s="217">
        <v>21059.59</v>
      </c>
      <c r="I146" s="215">
        <f t="shared" si="8"/>
        <v>1.8440009772169592</v>
      </c>
      <c r="J146" s="215"/>
    </row>
    <row r="147" spans="1:10" ht="12.75">
      <c r="A147" s="430" t="s">
        <v>954</v>
      </c>
      <c r="B147" s="217">
        <v>45000</v>
      </c>
      <c r="C147" s="217">
        <v>45000</v>
      </c>
      <c r="D147" s="215">
        <v>0</v>
      </c>
      <c r="E147" s="428">
        <f t="shared" si="6"/>
        <v>0</v>
      </c>
      <c r="F147" s="217">
        <v>0</v>
      </c>
      <c r="G147" s="215">
        <f t="shared" si="7"/>
        <v>0</v>
      </c>
      <c r="H147" s="217">
        <v>0</v>
      </c>
      <c r="I147" s="215">
        <f t="shared" si="8"/>
        <v>0</v>
      </c>
      <c r="J147" s="215"/>
    </row>
    <row r="148" spans="1:10" ht="12.75">
      <c r="A148" s="433" t="s">
        <v>1024</v>
      </c>
      <c r="B148" s="217">
        <f>SUM(B149:B150)</f>
        <v>1301000</v>
      </c>
      <c r="C148" s="217">
        <f>SUM(C149:C150)</f>
        <v>1301000</v>
      </c>
      <c r="D148" s="215">
        <f>SUM(D149:D150)</f>
        <v>434610.29</v>
      </c>
      <c r="E148" s="428">
        <f t="shared" si="6"/>
        <v>33.40586395080707</v>
      </c>
      <c r="F148" s="217">
        <f>SUM(F149:F150)</f>
        <v>178109.63</v>
      </c>
      <c r="G148" s="215">
        <f t="shared" si="7"/>
        <v>13.690209838585703</v>
      </c>
      <c r="H148" s="217">
        <f>SUM(H149:H150)</f>
        <v>78790.83</v>
      </c>
      <c r="I148" s="215">
        <f t="shared" si="8"/>
        <v>6.056174481168332</v>
      </c>
      <c r="J148" s="215">
        <f>SUM(J149:J150)</f>
        <v>0</v>
      </c>
    </row>
    <row r="149" spans="1:10" ht="12.75">
      <c r="A149" s="430" t="s">
        <v>951</v>
      </c>
      <c r="B149" s="217">
        <v>1236000</v>
      </c>
      <c r="C149" s="217">
        <v>1236000</v>
      </c>
      <c r="D149" s="215">
        <v>434610.29</v>
      </c>
      <c r="E149" s="428">
        <f t="shared" si="6"/>
        <v>35.16264482200647</v>
      </c>
      <c r="F149" s="217">
        <v>178109.63</v>
      </c>
      <c r="G149" s="215">
        <f t="shared" si="7"/>
        <v>14.410164239482201</v>
      </c>
      <c r="H149" s="217">
        <v>78790.83</v>
      </c>
      <c r="I149" s="215">
        <f t="shared" si="8"/>
        <v>6.374662621359223</v>
      </c>
      <c r="J149" s="215"/>
    </row>
    <row r="150" spans="1:10" ht="12.75">
      <c r="A150" s="430" t="s">
        <v>954</v>
      </c>
      <c r="B150" s="217">
        <v>65000</v>
      </c>
      <c r="C150" s="217">
        <v>65000</v>
      </c>
      <c r="D150" s="215">
        <v>0</v>
      </c>
      <c r="E150" s="428">
        <f t="shared" si="6"/>
        <v>0</v>
      </c>
      <c r="F150" s="217">
        <v>0</v>
      </c>
      <c r="G150" s="215">
        <f t="shared" si="7"/>
        <v>0</v>
      </c>
      <c r="H150" s="217">
        <v>0</v>
      </c>
      <c r="I150" s="215">
        <f t="shared" si="8"/>
        <v>0</v>
      </c>
      <c r="J150" s="215"/>
    </row>
    <row r="151" spans="1:10" ht="12.75">
      <c r="A151" s="433" t="s">
        <v>1025</v>
      </c>
      <c r="B151" s="217">
        <f>SUM(B152:B153)</f>
        <v>0</v>
      </c>
      <c r="C151" s="217">
        <f>SUM(C152:C153)</f>
        <v>0</v>
      </c>
      <c r="D151" s="215">
        <f>SUM(D152:D153)</f>
        <v>0</v>
      </c>
      <c r="E151" s="428">
        <f t="shared" si="6"/>
        <v>0</v>
      </c>
      <c r="F151" s="217">
        <f>SUM(F152:F153)</f>
        <v>0</v>
      </c>
      <c r="G151" s="215">
        <f t="shared" si="7"/>
        <v>0</v>
      </c>
      <c r="H151" s="217">
        <f>SUM(H152:H153)</f>
        <v>0</v>
      </c>
      <c r="I151" s="215">
        <f t="shared" si="8"/>
        <v>0</v>
      </c>
      <c r="J151" s="215">
        <f>SUM(J152:J153)</f>
        <v>0</v>
      </c>
    </row>
    <row r="152" spans="1:10" ht="12.75">
      <c r="A152" s="430" t="s">
        <v>951</v>
      </c>
      <c r="B152" s="217"/>
      <c r="C152" s="217"/>
      <c r="D152" s="215"/>
      <c r="E152" s="428">
        <f t="shared" si="6"/>
        <v>0</v>
      </c>
      <c r="F152" s="217"/>
      <c r="G152" s="215">
        <f t="shared" si="7"/>
        <v>0</v>
      </c>
      <c r="H152" s="217"/>
      <c r="I152" s="215">
        <f t="shared" si="8"/>
        <v>0</v>
      </c>
      <c r="J152" s="215"/>
    </row>
    <row r="153" spans="1:10" ht="12.75">
      <c r="A153" s="430" t="s">
        <v>954</v>
      </c>
      <c r="B153" s="217"/>
      <c r="C153" s="217"/>
      <c r="D153" s="215"/>
      <c r="E153" s="428">
        <f t="shared" si="6"/>
        <v>0</v>
      </c>
      <c r="F153" s="217"/>
      <c r="G153" s="215">
        <f t="shared" si="7"/>
        <v>0</v>
      </c>
      <c r="H153" s="217"/>
      <c r="I153" s="215">
        <f t="shared" si="8"/>
        <v>0</v>
      </c>
      <c r="J153" s="215"/>
    </row>
    <row r="154" spans="1:10" ht="12.75">
      <c r="A154" s="433" t="s">
        <v>1026</v>
      </c>
      <c r="B154" s="217">
        <f>SUM(B155:B156)</f>
        <v>46830000</v>
      </c>
      <c r="C154" s="217">
        <f>SUM(C155:C156)</f>
        <v>46830000</v>
      </c>
      <c r="D154" s="215">
        <f>SUM(D155:D156)</f>
        <v>40358404.28</v>
      </c>
      <c r="E154" s="428">
        <f t="shared" si="6"/>
        <v>86.18066256673073</v>
      </c>
      <c r="F154" s="217">
        <f>SUM(F155:F156)</f>
        <v>7460671.25</v>
      </c>
      <c r="G154" s="215">
        <f t="shared" si="7"/>
        <v>15.931392803758273</v>
      </c>
      <c r="H154" s="217">
        <f>SUM(H155:H156)</f>
        <v>4123805.34</v>
      </c>
      <c r="I154" s="215">
        <f t="shared" si="8"/>
        <v>8.805905060858423</v>
      </c>
      <c r="J154" s="215">
        <f>SUM(J155:J156)</f>
        <v>0</v>
      </c>
    </row>
    <row r="155" spans="1:10" ht="12.75">
      <c r="A155" s="430" t="s">
        <v>951</v>
      </c>
      <c r="B155" s="217">
        <v>46480000</v>
      </c>
      <c r="C155" s="217">
        <v>46480000</v>
      </c>
      <c r="D155" s="215">
        <v>40355489.28</v>
      </c>
      <c r="E155" s="428">
        <f t="shared" si="6"/>
        <v>86.82334182444063</v>
      </c>
      <c r="F155" s="217">
        <v>7457756.25</v>
      </c>
      <c r="G155" s="215">
        <f t="shared" si="7"/>
        <v>16.04508659638554</v>
      </c>
      <c r="H155" s="217">
        <v>4123805.34</v>
      </c>
      <c r="I155" s="215">
        <f t="shared" si="8"/>
        <v>8.872214586919105</v>
      </c>
      <c r="J155" s="215"/>
    </row>
    <row r="156" spans="1:10" ht="12.75">
      <c r="A156" s="434" t="s">
        <v>954</v>
      </c>
      <c r="B156" s="217">
        <v>350000</v>
      </c>
      <c r="C156" s="217">
        <v>350000</v>
      </c>
      <c r="D156" s="424">
        <v>2915</v>
      </c>
      <c r="E156" s="428">
        <f t="shared" si="6"/>
        <v>0.8328571428571429</v>
      </c>
      <c r="F156" s="217">
        <v>2915</v>
      </c>
      <c r="G156" s="215">
        <f t="shared" si="7"/>
        <v>0.8328571428571429</v>
      </c>
      <c r="H156" s="217">
        <v>0</v>
      </c>
      <c r="I156" s="215">
        <f t="shared" si="8"/>
        <v>0</v>
      </c>
      <c r="J156" s="215"/>
    </row>
    <row r="157" spans="1:10" ht="21">
      <c r="A157" s="654" t="s">
        <v>1027</v>
      </c>
      <c r="B157" s="655">
        <f>B136+B139+B142+B145+B148+B151+B154</f>
        <v>101013500</v>
      </c>
      <c r="C157" s="656">
        <f>C136+C139+C142+C145+C148+C151+C154</f>
        <v>104676533.32000001</v>
      </c>
      <c r="D157" s="656">
        <f>D136+D139+D142+D145+D148+D151+D154</f>
        <v>77426496.65</v>
      </c>
      <c r="E157" s="656">
        <f t="shared" si="6"/>
        <v>73.96738714426505</v>
      </c>
      <c r="F157" s="656">
        <f>F136+F139+F142+F145+F148+F151+F154</f>
        <v>14490455.759999998</v>
      </c>
      <c r="G157" s="656">
        <f t="shared" si="7"/>
        <v>13.843079533119559</v>
      </c>
      <c r="H157" s="656">
        <f>H136+H139+H142+H145+H148+H151+H154</f>
        <v>9267488.48</v>
      </c>
      <c r="I157" s="656">
        <f t="shared" si="8"/>
        <v>8.853453764721982</v>
      </c>
      <c r="J157" s="656">
        <f>J136+J139+J142+J145+J148+J151+J154</f>
        <v>0</v>
      </c>
    </row>
    <row r="158" spans="1:8" ht="12.75">
      <c r="A158" s="435"/>
      <c r="B158" s="436"/>
      <c r="C158" s="436"/>
      <c r="D158" s="436"/>
      <c r="E158" s="436"/>
      <c r="F158" s="437"/>
      <c r="G158" s="437"/>
      <c r="H158" s="437"/>
    </row>
    <row r="159" spans="1:8" ht="12.75">
      <c r="A159" s="435"/>
      <c r="B159" s="436"/>
      <c r="C159" s="436"/>
      <c r="D159" s="436"/>
      <c r="E159" s="436"/>
      <c r="F159" s="437"/>
      <c r="G159" s="437"/>
      <c r="H159" s="437"/>
    </row>
    <row r="160" spans="1:8" ht="12.75">
      <c r="A160" s="435"/>
      <c r="B160" s="436"/>
      <c r="C160" s="436"/>
      <c r="D160" s="436"/>
      <c r="E160" s="436"/>
      <c r="F160" s="437"/>
      <c r="G160" s="437"/>
      <c r="H160" s="437"/>
    </row>
    <row r="161" spans="1:8" ht="12.75">
      <c r="A161" s="435"/>
      <c r="B161" s="436"/>
      <c r="C161" s="436"/>
      <c r="D161" s="436"/>
      <c r="E161" s="436"/>
      <c r="F161" s="437"/>
      <c r="G161" s="437"/>
      <c r="H161" s="437"/>
    </row>
    <row r="162" spans="1:8" ht="12.75">
      <c r="A162" s="435"/>
      <c r="B162" s="436"/>
      <c r="C162" s="436"/>
      <c r="D162" s="436"/>
      <c r="E162" s="436"/>
      <c r="F162" s="437"/>
      <c r="G162" s="437"/>
      <c r="H162" s="437"/>
    </row>
    <row r="163" spans="1:10" ht="12.75" customHeight="1">
      <c r="A163" s="873" t="s">
        <v>1031</v>
      </c>
      <c r="B163" s="658" t="s">
        <v>103</v>
      </c>
      <c r="C163" s="659" t="s">
        <v>103</v>
      </c>
      <c r="D163" s="879" t="s">
        <v>104</v>
      </c>
      <c r="E163" s="880"/>
      <c r="F163" s="879" t="s">
        <v>105</v>
      </c>
      <c r="G163" s="880"/>
      <c r="H163" s="879" t="s">
        <v>944</v>
      </c>
      <c r="I163" s="880"/>
      <c r="J163" s="661" t="s">
        <v>635</v>
      </c>
    </row>
    <row r="164" spans="1:10" ht="12.75">
      <c r="A164" s="874"/>
      <c r="B164" s="662" t="s">
        <v>74</v>
      </c>
      <c r="C164" s="663" t="s">
        <v>75</v>
      </c>
      <c r="D164" s="659" t="str">
        <f>CONCATENATE("Até o  ",B40)</f>
        <v>Até o  </v>
      </c>
      <c r="E164" s="664" t="s">
        <v>77</v>
      </c>
      <c r="F164" s="659" t="str">
        <f>CONCATENATE("Até o  ",B40)</f>
        <v>Até o  </v>
      </c>
      <c r="G164" s="664" t="s">
        <v>77</v>
      </c>
      <c r="H164" s="659" t="str">
        <f>CONCATENATE("Até o  ",D40)</f>
        <v>Até o  </v>
      </c>
      <c r="I164" s="664" t="s">
        <v>77</v>
      </c>
      <c r="J164" s="665"/>
    </row>
    <row r="165" spans="1:10" ht="12.75">
      <c r="A165" s="875"/>
      <c r="B165" s="667"/>
      <c r="C165" s="668" t="s">
        <v>100</v>
      </c>
      <c r="D165" s="669" t="s">
        <v>108</v>
      </c>
      <c r="E165" s="670" t="s">
        <v>1028</v>
      </c>
      <c r="F165" s="669" t="s">
        <v>109</v>
      </c>
      <c r="G165" s="670" t="s">
        <v>1029</v>
      </c>
      <c r="H165" s="669" t="s">
        <v>190</v>
      </c>
      <c r="I165" s="670" t="s">
        <v>1030</v>
      </c>
      <c r="J165" s="671" t="s">
        <v>110</v>
      </c>
    </row>
    <row r="166" spans="1:10" ht="12.75">
      <c r="A166" s="426" t="s">
        <v>1032</v>
      </c>
      <c r="B166" s="398">
        <f>B46+B136</f>
        <v>49765000</v>
      </c>
      <c r="C166" s="398">
        <f>C46+C136</f>
        <v>50149759.29</v>
      </c>
      <c r="D166" s="398">
        <f>D46+D136</f>
        <v>10427549.33</v>
      </c>
      <c r="E166" s="166">
        <f aca="true" t="shared" si="9" ref="E166:E175">IF(C166&gt;0,D166/C166*100,0)</f>
        <v>20.7928202998958</v>
      </c>
      <c r="F166" s="399">
        <f>F46+F136</f>
        <v>8084130.649999999</v>
      </c>
      <c r="G166" s="119">
        <f aca="true" t="shared" si="10" ref="G166:G175">IF(C166&gt;0,F166/C166*100,0)</f>
        <v>16.119978967899048</v>
      </c>
      <c r="H166" s="399">
        <f>H46+H136</f>
        <v>4257076.91</v>
      </c>
      <c r="I166" s="119">
        <f aca="true" t="shared" si="11" ref="I166:I175">IF(C166&gt;0,H166/C166*100,0)</f>
        <v>8.488728500933949</v>
      </c>
      <c r="J166" s="398">
        <f>J46+J136</f>
        <v>0</v>
      </c>
    </row>
    <row r="167" spans="1:10" ht="12.75">
      <c r="A167" s="433" t="s">
        <v>1033</v>
      </c>
      <c r="B167" s="401">
        <f>B49+B139</f>
        <v>152939000</v>
      </c>
      <c r="C167" s="401">
        <f>C49+C139</f>
        <v>164916356.88</v>
      </c>
      <c r="D167" s="401">
        <f>D49+D139</f>
        <v>87388711.95</v>
      </c>
      <c r="E167" s="166">
        <f t="shared" si="9"/>
        <v>52.989717698886395</v>
      </c>
      <c r="F167" s="402">
        <f>F49+F139</f>
        <v>23447357.54</v>
      </c>
      <c r="G167" s="118">
        <f t="shared" si="10"/>
        <v>14.21772708516795</v>
      </c>
      <c r="H167" s="402">
        <f>H49+H139</f>
        <v>17235829.29</v>
      </c>
      <c r="I167" s="118">
        <f t="shared" si="11"/>
        <v>10.451255179340098</v>
      </c>
      <c r="J167" s="401">
        <f>J49+J139</f>
        <v>0</v>
      </c>
    </row>
    <row r="168" spans="1:10" ht="12.75">
      <c r="A168" s="433" t="s">
        <v>1034</v>
      </c>
      <c r="B168" s="401">
        <f>B52+B142</f>
        <v>12893500</v>
      </c>
      <c r="C168" s="401">
        <f>C52+C142</f>
        <v>13982435.67</v>
      </c>
      <c r="D168" s="401">
        <f>D52+D142</f>
        <v>3101804.1100000003</v>
      </c>
      <c r="E168" s="166">
        <f t="shared" si="9"/>
        <v>22.183575045190967</v>
      </c>
      <c r="F168" s="402">
        <f>F52+F142</f>
        <v>1914444.63</v>
      </c>
      <c r="G168" s="118">
        <f t="shared" si="10"/>
        <v>13.69178214141571</v>
      </c>
      <c r="H168" s="402">
        <f>H52+H142</f>
        <v>351158.91000000003</v>
      </c>
      <c r="I168" s="118">
        <f t="shared" si="11"/>
        <v>2.5114287545297183</v>
      </c>
      <c r="J168" s="401">
        <f>J52+J142</f>
        <v>0</v>
      </c>
    </row>
    <row r="169" spans="1:10" ht="12.75">
      <c r="A169" s="433" t="s">
        <v>1035</v>
      </c>
      <c r="B169" s="401">
        <f>B55+B145</f>
        <v>2960000</v>
      </c>
      <c r="C169" s="401">
        <f>C55+C145</f>
        <v>2981059.59</v>
      </c>
      <c r="D169" s="401">
        <f>D55+D145</f>
        <v>409494.56000000006</v>
      </c>
      <c r="E169" s="166">
        <f t="shared" si="9"/>
        <v>13.736543924638555</v>
      </c>
      <c r="F169" s="402">
        <f>F55+F145</f>
        <v>402487.88</v>
      </c>
      <c r="G169" s="118">
        <f t="shared" si="10"/>
        <v>13.50150400717082</v>
      </c>
      <c r="H169" s="402">
        <f>H55+H145</f>
        <v>208631.16999999998</v>
      </c>
      <c r="I169" s="118">
        <f t="shared" si="11"/>
        <v>6.998557516255486</v>
      </c>
      <c r="J169" s="401">
        <f>J55+J145</f>
        <v>0</v>
      </c>
    </row>
    <row r="170" spans="1:10" ht="12.75">
      <c r="A170" s="433" t="s">
        <v>1036</v>
      </c>
      <c r="B170" s="401">
        <f>B58+B148</f>
        <v>4889000</v>
      </c>
      <c r="C170" s="401">
        <f>C58+C148</f>
        <v>4889000</v>
      </c>
      <c r="D170" s="401">
        <f>D58+D148</f>
        <v>1124436.83</v>
      </c>
      <c r="E170" s="166">
        <f t="shared" si="9"/>
        <v>22.999321538146862</v>
      </c>
      <c r="F170" s="402">
        <f>F58+F148</f>
        <v>799883.77</v>
      </c>
      <c r="G170" s="118">
        <f t="shared" si="10"/>
        <v>16.36088709347515</v>
      </c>
      <c r="H170" s="402">
        <f>H58+H148</f>
        <v>442089.5</v>
      </c>
      <c r="I170" s="118">
        <f t="shared" si="11"/>
        <v>9.042534260584986</v>
      </c>
      <c r="J170" s="401">
        <f>J58+J148</f>
        <v>0</v>
      </c>
    </row>
    <row r="171" spans="1:10" ht="12.75">
      <c r="A171" s="433" t="s">
        <v>1037</v>
      </c>
      <c r="B171" s="401">
        <f>B61+B151</f>
        <v>0</v>
      </c>
      <c r="C171" s="401">
        <f>C61+C151</f>
        <v>0</v>
      </c>
      <c r="D171" s="401">
        <f>D61+D151</f>
        <v>0</v>
      </c>
      <c r="E171" s="166">
        <f t="shared" si="9"/>
        <v>0</v>
      </c>
      <c r="F171" s="402">
        <f>F61+F151</f>
        <v>0</v>
      </c>
      <c r="G171" s="118">
        <f t="shared" si="10"/>
        <v>0</v>
      </c>
      <c r="H171" s="402">
        <f>H61+H151</f>
        <v>0</v>
      </c>
      <c r="I171" s="118">
        <f t="shared" si="11"/>
        <v>0</v>
      </c>
      <c r="J171" s="401">
        <f>J61+J151</f>
        <v>0</v>
      </c>
    </row>
    <row r="172" spans="1:10" ht="12.75">
      <c r="A172" s="426" t="s">
        <v>1038</v>
      </c>
      <c r="B172" s="401">
        <f>B64+B154</f>
        <v>64715500</v>
      </c>
      <c r="C172" s="401">
        <f>C64+C154</f>
        <v>64715500</v>
      </c>
      <c r="D172" s="401">
        <f>D64+D154</f>
        <v>45103094.34</v>
      </c>
      <c r="E172" s="166">
        <f t="shared" si="9"/>
        <v>69.69442303621236</v>
      </c>
      <c r="F172" s="402">
        <f>F64+F154</f>
        <v>9281430.27</v>
      </c>
      <c r="G172" s="118">
        <f t="shared" si="10"/>
        <v>14.341896871692253</v>
      </c>
      <c r="H172" s="402">
        <f>H64+H154</f>
        <v>5099566.7299999995</v>
      </c>
      <c r="I172" s="118">
        <f t="shared" si="11"/>
        <v>7.879977331551173</v>
      </c>
      <c r="J172" s="401">
        <f>J64+J154</f>
        <v>0</v>
      </c>
    </row>
    <row r="173" spans="1:10" ht="12.75">
      <c r="A173" s="654" t="s">
        <v>1039</v>
      </c>
      <c r="B173" s="655">
        <f>B67+B157</f>
        <v>288162000</v>
      </c>
      <c r="C173" s="656">
        <f>C67+C157</f>
        <v>301634111.43</v>
      </c>
      <c r="D173" s="656">
        <f>D67+D157</f>
        <v>147555091.12</v>
      </c>
      <c r="E173" s="656">
        <f t="shared" si="9"/>
        <v>48.91856906384509</v>
      </c>
      <c r="F173" s="656">
        <f>F67+F157</f>
        <v>43929734.739999995</v>
      </c>
      <c r="G173" s="656">
        <f t="shared" si="10"/>
        <v>14.5639147149956</v>
      </c>
      <c r="H173" s="656">
        <f>H67+H157</f>
        <v>27594352.51</v>
      </c>
      <c r="I173" s="656">
        <f t="shared" si="11"/>
        <v>9.148286438552823</v>
      </c>
      <c r="J173" s="656">
        <f>J67+J157</f>
        <v>0</v>
      </c>
    </row>
    <row r="174" spans="1:10" ht="15.75">
      <c r="A174" s="438" t="s">
        <v>1040</v>
      </c>
      <c r="B174" s="401">
        <v>53166500</v>
      </c>
      <c r="C174" s="401">
        <v>56829533.32</v>
      </c>
      <c r="D174" s="401">
        <v>37019497.36</v>
      </c>
      <c r="E174" s="166">
        <f t="shared" si="9"/>
        <v>65.14130100549627</v>
      </c>
      <c r="F174" s="402">
        <v>6981189.5</v>
      </c>
      <c r="G174" s="118">
        <f t="shared" si="10"/>
        <v>12.28443925571198</v>
      </c>
      <c r="H174" s="402">
        <v>5143683.14</v>
      </c>
      <c r="I174" s="118">
        <f t="shared" si="11"/>
        <v>9.051074044610859</v>
      </c>
      <c r="J174" s="401"/>
    </row>
    <row r="175" spans="1:10" ht="12.75">
      <c r="A175" s="654" t="s">
        <v>1041</v>
      </c>
      <c r="B175" s="655">
        <f>B173-B174</f>
        <v>234995500</v>
      </c>
      <c r="C175" s="656">
        <f>C173-C174</f>
        <v>244804578.11</v>
      </c>
      <c r="D175" s="656">
        <f>D173-D174</f>
        <v>110535593.76</v>
      </c>
      <c r="E175" s="656">
        <f t="shared" si="9"/>
        <v>45.15258440564464</v>
      </c>
      <c r="F175" s="656">
        <f>F173-F174</f>
        <v>36948545.239999995</v>
      </c>
      <c r="G175" s="656">
        <f t="shared" si="10"/>
        <v>15.093077721527578</v>
      </c>
      <c r="H175" s="656">
        <f>H173-H174</f>
        <v>22450669.37</v>
      </c>
      <c r="I175" s="656">
        <f t="shared" si="11"/>
        <v>9.170853561370924</v>
      </c>
      <c r="J175" s="656">
        <f>J173-J174</f>
        <v>0</v>
      </c>
    </row>
    <row r="176" spans="1:8" ht="12.75">
      <c r="A176" s="896" t="s">
        <v>1070</v>
      </c>
      <c r="B176" s="896"/>
      <c r="C176" s="896"/>
      <c r="D176" s="896"/>
      <c r="E176" s="896"/>
      <c r="F176" s="896"/>
      <c r="G176" s="896"/>
      <c r="H176" s="896"/>
    </row>
    <row r="177" spans="1:8" ht="12.75">
      <c r="A177" s="439" t="s">
        <v>1045</v>
      </c>
      <c r="B177" s="439"/>
      <c r="C177" s="439"/>
      <c r="D177" s="439"/>
      <c r="E177" s="439"/>
      <c r="F177" s="439"/>
      <c r="G177" s="439"/>
      <c r="H177" s="439"/>
    </row>
    <row r="178" spans="1:8" ht="12.75">
      <c r="A178" s="382" t="s">
        <v>1042</v>
      </c>
      <c r="B178" s="440"/>
      <c r="C178" s="440"/>
      <c r="D178" s="382"/>
      <c r="E178" s="382"/>
      <c r="F178" s="441"/>
      <c r="G178" s="441"/>
      <c r="H178" s="384"/>
    </row>
    <row r="179" spans="1:8" ht="12.75">
      <c r="A179" s="653" t="s">
        <v>1043</v>
      </c>
      <c r="B179" s="440"/>
      <c r="C179" s="440"/>
      <c r="D179" s="382"/>
      <c r="E179" s="382"/>
      <c r="F179" s="441"/>
      <c r="G179" s="441"/>
      <c r="H179" s="384"/>
    </row>
    <row r="180" spans="1:8" ht="12.75">
      <c r="A180" s="382" t="s">
        <v>1044</v>
      </c>
      <c r="B180" s="440"/>
      <c r="C180" s="440"/>
      <c r="D180" s="382"/>
      <c r="E180" s="382"/>
      <c r="F180" s="441"/>
      <c r="G180" s="441"/>
      <c r="H180" s="384"/>
    </row>
    <row r="181" spans="1:8" ht="12.75">
      <c r="A181" s="384"/>
      <c r="B181" s="384"/>
      <c r="C181" s="384"/>
      <c r="D181" s="384"/>
      <c r="E181" s="384"/>
      <c r="F181" s="384"/>
      <c r="G181" s="384"/>
      <c r="H181" s="384"/>
    </row>
    <row r="182" spans="1:8" ht="12.75">
      <c r="A182" s="384"/>
      <c r="B182" s="384"/>
      <c r="C182" s="384"/>
      <c r="D182" s="384"/>
      <c r="E182" s="384"/>
      <c r="F182" s="384"/>
      <c r="G182" s="384"/>
      <c r="H182" s="384"/>
    </row>
    <row r="183" spans="1:8" ht="12.75">
      <c r="A183" s="384"/>
      <c r="B183" s="384"/>
      <c r="C183" s="384"/>
      <c r="D183" s="384"/>
      <c r="E183" s="384"/>
      <c r="F183" s="384"/>
      <c r="G183" s="384"/>
      <c r="H183" s="384"/>
    </row>
    <row r="184" spans="1:8" ht="12.75">
      <c r="A184" s="384"/>
      <c r="B184" s="384"/>
      <c r="C184" s="384"/>
      <c r="D184" s="384"/>
      <c r="E184" s="384"/>
      <c r="F184" s="384"/>
      <c r="G184" s="384"/>
      <c r="H184" s="384"/>
    </row>
    <row r="185" spans="1:7" ht="12.75">
      <c r="A185" s="598" t="s">
        <v>1055</v>
      </c>
      <c r="B185" s="599"/>
      <c r="C185" s="599"/>
      <c r="D185" s="839" t="s">
        <v>1057</v>
      </c>
      <c r="E185" s="839"/>
      <c r="F185" s="839"/>
      <c r="G185" s="522"/>
    </row>
    <row r="186" spans="1:7" ht="12.75">
      <c r="A186" s="601" t="s">
        <v>1056</v>
      </c>
      <c r="B186" s="599"/>
      <c r="C186" s="599"/>
      <c r="D186" s="839" t="s">
        <v>1058</v>
      </c>
      <c r="E186" s="839"/>
      <c r="F186" s="839"/>
      <c r="G186" s="522"/>
    </row>
    <row r="187" spans="1:7" ht="12.75">
      <c r="A187" s="602"/>
      <c r="B187" s="603"/>
      <c r="C187" s="604"/>
      <c r="D187" s="840" t="s">
        <v>1080</v>
      </c>
      <c r="E187" s="840"/>
      <c r="F187" s="840"/>
      <c r="G187" s="519"/>
    </row>
    <row r="188" spans="1:8" ht="12.75">
      <c r="A188" s="515"/>
      <c r="B188" s="890"/>
      <c r="C188" s="890"/>
      <c r="D188" s="890"/>
      <c r="E188" s="892"/>
      <c r="F188" s="892"/>
      <c r="G188" s="892"/>
      <c r="H188" s="892"/>
    </row>
    <row r="189" spans="5:8" ht="12.75">
      <c r="E189" s="891"/>
      <c r="F189" s="891"/>
      <c r="G189" s="891"/>
      <c r="H189" s="891"/>
    </row>
    <row r="191" spans="1:7" ht="12.75">
      <c r="A191" s="602" t="s">
        <v>1084</v>
      </c>
      <c r="B191" s="603"/>
      <c r="C191" s="603"/>
      <c r="D191" s="840" t="s">
        <v>1059</v>
      </c>
      <c r="E191" s="840"/>
      <c r="F191" s="840"/>
      <c r="G191" s="522"/>
    </row>
    <row r="192" spans="1:7" ht="12.75">
      <c r="A192" s="601" t="s">
        <v>1085</v>
      </c>
      <c r="B192" s="603"/>
      <c r="C192" s="603"/>
      <c r="D192" s="601" t="s">
        <v>1060</v>
      </c>
      <c r="E192" s="601"/>
      <c r="F192" s="601"/>
      <c r="G192" s="522"/>
    </row>
    <row r="193" spans="1:7" ht="12.75">
      <c r="A193" s="522"/>
      <c r="B193" s="522"/>
      <c r="C193" s="522"/>
      <c r="D193" s="739" t="s">
        <v>1074</v>
      </c>
      <c r="E193" s="739"/>
      <c r="F193" s="565"/>
      <c r="G193" s="522"/>
    </row>
    <row r="1469" ht="12.75">
      <c r="E1469" s="516"/>
    </row>
  </sheetData>
  <sheetProtection/>
  <mergeCells count="42">
    <mergeCell ref="A92:A93"/>
    <mergeCell ref="A91:J91"/>
    <mergeCell ref="C114:E114"/>
    <mergeCell ref="F114:F115"/>
    <mergeCell ref="A176:H176"/>
    <mergeCell ref="D133:E133"/>
    <mergeCell ref="F133:G133"/>
    <mergeCell ref="D122:E122"/>
    <mergeCell ref="A114:A116"/>
    <mergeCell ref="B114:B115"/>
    <mergeCell ref="D193:E193"/>
    <mergeCell ref="D185:F185"/>
    <mergeCell ref="D186:F186"/>
    <mergeCell ref="D187:F187"/>
    <mergeCell ref="B188:D188"/>
    <mergeCell ref="E189:H189"/>
    <mergeCell ref="D191:F191"/>
    <mergeCell ref="E188:H188"/>
    <mergeCell ref="J43:J44"/>
    <mergeCell ref="A69:A71"/>
    <mergeCell ref="B69:B70"/>
    <mergeCell ref="C69:C70"/>
    <mergeCell ref="A83:A85"/>
    <mergeCell ref="D43:E43"/>
    <mergeCell ref="F43:G43"/>
    <mergeCell ref="H43:I43"/>
    <mergeCell ref="D69:D70"/>
    <mergeCell ref="C83:E83"/>
    <mergeCell ref="A163:A165"/>
    <mergeCell ref="A122:A124"/>
    <mergeCell ref="A133:A135"/>
    <mergeCell ref="H133:I133"/>
    <mergeCell ref="D163:E163"/>
    <mergeCell ref="F163:G163"/>
    <mergeCell ref="H163:I163"/>
    <mergeCell ref="A11:G11"/>
    <mergeCell ref="A14:G14"/>
    <mergeCell ref="A15:G15"/>
    <mergeCell ref="D18:E18"/>
    <mergeCell ref="A18:A20"/>
    <mergeCell ref="B83:B84"/>
    <mergeCell ref="F83:F8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83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65.421875" style="1" bestFit="1" customWidth="1"/>
    <col min="2" max="2" width="10.00390625" style="1" customWidth="1"/>
    <col min="3" max="3" width="14.8515625" style="1" customWidth="1"/>
    <col min="4" max="12" width="10.00390625" style="1" customWidth="1"/>
    <col min="13" max="13" width="7.421875" style="1" customWidth="1"/>
    <col min="14" max="16384" width="9.140625" style="1" customWidth="1"/>
  </cols>
  <sheetData>
    <row r="1" s="171" customFormat="1" ht="12.75"/>
    <row r="2" s="171" customFormat="1" ht="25.5" customHeight="1">
      <c r="A2" s="498" t="s">
        <v>1050</v>
      </c>
    </row>
    <row r="3" s="171" customFormat="1" ht="15.75" customHeight="1">
      <c r="A3" s="499" t="s">
        <v>1051</v>
      </c>
    </row>
    <row r="4" s="171" customFormat="1" ht="15.75" customHeight="1">
      <c r="A4" s="499" t="s">
        <v>1052</v>
      </c>
    </row>
    <row r="5" s="171" customFormat="1" ht="15.75" customHeight="1">
      <c r="A5" s="499" t="s">
        <v>1053</v>
      </c>
    </row>
    <row r="6" spans="1:13" s="171" customFormat="1" ht="15.75">
      <c r="A6" s="442" t="s">
        <v>345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="171" customFormat="1" ht="12.75"/>
    <row r="8" spans="1:13" ht="12.75">
      <c r="A8" s="495" t="s">
        <v>1050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</row>
    <row r="9" spans="1:13" s="171" customFormat="1" ht="12.75">
      <c r="A9" s="443" t="s">
        <v>68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</row>
    <row r="10" spans="1:13" s="171" customFormat="1" ht="12.75">
      <c r="A10" s="444" t="s">
        <v>145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</row>
    <row r="11" spans="1:13" s="171" customFormat="1" ht="12.75" customHeight="1">
      <c r="A11" s="897" t="s">
        <v>70</v>
      </c>
      <c r="B11" s="897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3" s="171" customFormat="1" ht="12.75" customHeight="1">
      <c r="A13" s="517" t="s">
        <v>1054</v>
      </c>
      <c r="B13" s="305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</row>
    <row r="14" spans="1:13" s="171" customFormat="1" ht="12.75" hidden="1">
      <c r="A14" s="897"/>
      <c r="B14" s="897"/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</row>
    <row r="15" spans="1:13" s="171" customFormat="1" ht="12.75" hidden="1">
      <c r="A15" s="897"/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</row>
    <row r="16" spans="1:13" s="171" customFormat="1" ht="12.75">
      <c r="A16" s="899"/>
      <c r="B16" s="899"/>
      <c r="C16" s="899"/>
      <c r="D16" s="899"/>
      <c r="E16" s="899"/>
      <c r="F16" s="899"/>
      <c r="G16" s="899"/>
      <c r="H16" s="899"/>
      <c r="I16" s="899"/>
      <c r="J16" s="899"/>
      <c r="K16" s="899"/>
      <c r="L16" s="899"/>
      <c r="M16" s="899"/>
    </row>
    <row r="17" spans="1:13" s="171" customFormat="1" ht="12.75">
      <c r="A17" s="446" t="s">
        <v>346</v>
      </c>
      <c r="B17" s="446"/>
      <c r="C17" s="446"/>
      <c r="D17" s="447" t="s">
        <v>605</v>
      </c>
      <c r="E17" s="448"/>
      <c r="F17" s="898"/>
      <c r="G17" s="898"/>
      <c r="H17" s="898"/>
      <c r="I17" s="898"/>
      <c r="J17" s="448"/>
      <c r="K17" s="898"/>
      <c r="L17" s="898"/>
      <c r="M17" s="448"/>
    </row>
    <row r="18" spans="1:5" s="450" customFormat="1" ht="11.25" customHeight="1">
      <c r="A18" s="906" t="s">
        <v>140</v>
      </c>
      <c r="B18" s="697" t="s">
        <v>107</v>
      </c>
      <c r="C18" s="900" t="s">
        <v>141</v>
      </c>
      <c r="D18" s="901"/>
      <c r="E18" s="449"/>
    </row>
    <row r="19" spans="1:5" s="450" customFormat="1" ht="11.25" customHeight="1">
      <c r="A19" s="907"/>
      <c r="B19" s="449" t="s">
        <v>631</v>
      </c>
      <c r="C19" s="692" t="str">
        <f>CONCATENATE("No  ",B13)</f>
        <v>No  Bimestre</v>
      </c>
      <c r="D19" s="904" t="str">
        <f>CONCATENATE("Até o  ",B13)</f>
        <v>Até o  Bimestre</v>
      </c>
      <c r="E19" s="451"/>
    </row>
    <row r="20" spans="1:5" s="450" customFormat="1" ht="11.25" customHeight="1">
      <c r="A20" s="698"/>
      <c r="B20" s="449" t="s">
        <v>149</v>
      </c>
      <c r="C20" s="694"/>
      <c r="D20" s="905"/>
      <c r="E20" s="449"/>
    </row>
    <row r="21" spans="1:5" s="450" customFormat="1" ht="11.25" customHeight="1">
      <c r="A21" s="699"/>
      <c r="B21" s="695" t="s">
        <v>79</v>
      </c>
      <c r="C21" s="700"/>
      <c r="D21" s="700" t="s">
        <v>80</v>
      </c>
      <c r="E21" s="451"/>
    </row>
    <row r="22" spans="1:5" s="450" customFormat="1" ht="11.25" customHeight="1">
      <c r="A22" s="452" t="s">
        <v>142</v>
      </c>
      <c r="B22" s="453">
        <f>B23</f>
        <v>0</v>
      </c>
      <c r="C22" s="453">
        <f>C23</f>
        <v>0</v>
      </c>
      <c r="D22" s="453">
        <f>D23</f>
        <v>0</v>
      </c>
      <c r="E22" s="4"/>
    </row>
    <row r="23" spans="1:5" s="450" customFormat="1" ht="11.25" customHeight="1">
      <c r="A23" s="454" t="s">
        <v>669</v>
      </c>
      <c r="B23" s="455"/>
      <c r="C23" s="407"/>
      <c r="D23" s="456"/>
      <c r="E23" s="4"/>
    </row>
    <row r="24" spans="1:5" s="450" customFormat="1" ht="11.25" customHeight="1">
      <c r="A24" s="452" t="s">
        <v>670</v>
      </c>
      <c r="B24" s="453">
        <f>SUM(B25:B27)</f>
        <v>0</v>
      </c>
      <c r="C24" s="453">
        <f>SUM(C25:C27)</f>
        <v>0</v>
      </c>
      <c r="D24" s="453">
        <f>SUM(D25:D27)</f>
        <v>0</v>
      </c>
      <c r="E24" s="4"/>
    </row>
    <row r="25" spans="1:5" s="450" customFormat="1" ht="11.25" customHeight="1">
      <c r="A25" s="454" t="s">
        <v>671</v>
      </c>
      <c r="B25" s="455"/>
      <c r="C25" s="407"/>
      <c r="D25" s="456"/>
      <c r="E25" s="4"/>
    </row>
    <row r="26" spans="1:5" s="450" customFormat="1" ht="11.25" customHeight="1">
      <c r="A26" s="454" t="s">
        <v>143</v>
      </c>
      <c r="B26" s="455"/>
      <c r="C26" s="407"/>
      <c r="D26" s="456"/>
      <c r="E26" s="4"/>
    </row>
    <row r="27" spans="1:5" s="450" customFormat="1" ht="11.25" customHeight="1">
      <c r="A27" s="454" t="s">
        <v>672</v>
      </c>
      <c r="B27" s="419"/>
      <c r="C27" s="409"/>
      <c r="D27" s="457"/>
      <c r="E27" s="4"/>
    </row>
    <row r="28" spans="1:5" s="450" customFormat="1" ht="11.25" customHeight="1">
      <c r="A28" s="452" t="s">
        <v>673</v>
      </c>
      <c r="B28" s="453">
        <f>SUM(B29:B32)</f>
        <v>0</v>
      </c>
      <c r="C28" s="453">
        <f>SUM(C29:C32)</f>
        <v>0</v>
      </c>
      <c r="D28" s="453">
        <f>SUM(D29:D32)</f>
        <v>0</v>
      </c>
      <c r="E28" s="4"/>
    </row>
    <row r="29" spans="1:5" s="450" customFormat="1" ht="11.25" customHeight="1">
      <c r="A29" s="454" t="s">
        <v>674</v>
      </c>
      <c r="B29" s="455"/>
      <c r="C29" s="407"/>
      <c r="D29" s="456"/>
      <c r="E29" s="4"/>
    </row>
    <row r="30" spans="1:5" s="450" customFormat="1" ht="11.25" customHeight="1">
      <c r="A30" s="454" t="s">
        <v>809</v>
      </c>
      <c r="B30" s="455"/>
      <c r="C30" s="407"/>
      <c r="D30" s="456"/>
      <c r="E30" s="4"/>
    </row>
    <row r="31" spans="1:5" s="450" customFormat="1" ht="11.25" customHeight="1">
      <c r="A31" s="454" t="s">
        <v>810</v>
      </c>
      <c r="B31" s="455"/>
      <c r="C31" s="407"/>
      <c r="D31" s="456"/>
      <c r="E31" s="4"/>
    </row>
    <row r="32" spans="1:5" s="450" customFormat="1" ht="11.25" customHeight="1">
      <c r="A32" s="458" t="s">
        <v>811</v>
      </c>
      <c r="B32" s="419"/>
      <c r="C32" s="409"/>
      <c r="D32" s="457"/>
      <c r="E32" s="4"/>
    </row>
    <row r="33" spans="1:13" s="450" customFormat="1" ht="11.25" customHeight="1">
      <c r="A33" s="459"/>
      <c r="B33" s="460"/>
      <c r="C33" s="460"/>
      <c r="D33" s="460"/>
      <c r="E33" s="460"/>
      <c r="F33" s="460"/>
      <c r="G33" s="461"/>
      <c r="H33" s="460"/>
      <c r="I33" s="460"/>
      <c r="J33" s="460"/>
      <c r="K33" s="460"/>
      <c r="L33" s="460"/>
      <c r="M33" s="460"/>
    </row>
    <row r="34" spans="1:13" s="450" customFormat="1" ht="11.25" customHeight="1" hidden="1">
      <c r="A34" s="459"/>
      <c r="B34" s="460"/>
      <c r="C34" s="460"/>
      <c r="D34" s="460"/>
      <c r="E34" s="460"/>
      <c r="F34" s="460"/>
      <c r="G34" s="461"/>
      <c r="H34" s="460"/>
      <c r="I34" s="460"/>
      <c r="J34" s="460"/>
      <c r="K34" s="460"/>
      <c r="L34" s="460"/>
      <c r="M34" s="460"/>
    </row>
    <row r="35" spans="1:13" s="450" customFormat="1" ht="11.25" customHeight="1" hidden="1">
      <c r="A35" s="459"/>
      <c r="B35" s="460"/>
      <c r="C35" s="460"/>
      <c r="D35" s="460"/>
      <c r="E35" s="460"/>
      <c r="F35" s="460"/>
      <c r="G35" s="461"/>
      <c r="H35" s="460"/>
      <c r="I35" s="460"/>
      <c r="J35" s="460"/>
      <c r="K35" s="460"/>
      <c r="L35" s="460"/>
      <c r="M35" s="460"/>
    </row>
    <row r="36" spans="1:13" s="450" customFormat="1" ht="11.25" customHeight="1" hidden="1">
      <c r="A36" s="459"/>
      <c r="B36" s="460"/>
      <c r="C36" s="460"/>
      <c r="D36" s="460"/>
      <c r="E36" s="460"/>
      <c r="F36" s="460"/>
      <c r="G36" s="461"/>
      <c r="H36" s="460"/>
      <c r="I36" s="460"/>
      <c r="J36" s="460"/>
      <c r="K36" s="460"/>
      <c r="L36" s="460"/>
      <c r="M36" s="460"/>
    </row>
    <row r="37" spans="1:13" s="450" customFormat="1" ht="11.25" customHeight="1" hidden="1">
      <c r="A37" s="459"/>
      <c r="B37" s="460"/>
      <c r="C37" s="460"/>
      <c r="D37" s="460"/>
      <c r="E37" s="460"/>
      <c r="F37" s="460"/>
      <c r="G37" s="461"/>
      <c r="H37" s="460"/>
      <c r="I37" s="460"/>
      <c r="J37" s="460"/>
      <c r="K37" s="460"/>
      <c r="L37" s="460"/>
      <c r="M37" s="460"/>
    </row>
    <row r="38" spans="1:13" s="450" customFormat="1" ht="11.25" customHeight="1" hidden="1">
      <c r="A38" s="459"/>
      <c r="B38" s="460"/>
      <c r="C38" s="460"/>
      <c r="D38" s="460"/>
      <c r="E38" s="460"/>
      <c r="F38" s="460"/>
      <c r="G38" s="461"/>
      <c r="H38" s="460"/>
      <c r="I38" s="460"/>
      <c r="J38" s="460"/>
      <c r="K38" s="460"/>
      <c r="L38" s="460"/>
      <c r="M38" s="460"/>
    </row>
    <row r="39" spans="1:13" s="450" customFormat="1" ht="11.25" customHeight="1" hidden="1">
      <c r="A39" s="459"/>
      <c r="B39" s="460"/>
      <c r="C39" s="460"/>
      <c r="D39" s="460"/>
      <c r="E39" s="460"/>
      <c r="F39" s="460"/>
      <c r="G39" s="461"/>
      <c r="H39" s="460"/>
      <c r="I39" s="460"/>
      <c r="J39" s="460"/>
      <c r="K39" s="460"/>
      <c r="L39" s="460"/>
      <c r="M39" s="460"/>
    </row>
    <row r="40" spans="1:13" s="450" customFormat="1" ht="11.25" customHeight="1" hidden="1">
      <c r="A40" s="459"/>
      <c r="B40" s="460"/>
      <c r="C40" s="460"/>
      <c r="D40" s="460"/>
      <c r="E40" s="460"/>
      <c r="F40" s="460"/>
      <c r="G40" s="461"/>
      <c r="H40" s="460"/>
      <c r="I40" s="460"/>
      <c r="J40" s="460"/>
      <c r="K40" s="460"/>
      <c r="L40" s="460"/>
      <c r="M40" s="460"/>
    </row>
    <row r="41" spans="1:13" ht="11.25" customHeight="1" hidden="1">
      <c r="A41" s="462"/>
      <c r="B41" s="462"/>
      <c r="C41" s="462"/>
      <c r="D41" s="462"/>
      <c r="E41" s="462"/>
      <c r="F41" s="462"/>
      <c r="G41" s="463"/>
      <c r="H41" s="463"/>
      <c r="I41" s="463"/>
      <c r="J41" s="463"/>
      <c r="K41" s="463"/>
      <c r="L41" s="463"/>
      <c r="M41" s="463"/>
    </row>
    <row r="42" spans="1:12" s="464" customFormat="1" ht="11.25" customHeight="1">
      <c r="A42" s="690"/>
      <c r="B42" s="691" t="s">
        <v>148</v>
      </c>
      <c r="C42" s="691" t="s">
        <v>195</v>
      </c>
      <c r="D42" s="691" t="s">
        <v>219</v>
      </c>
      <c r="E42" s="691" t="s">
        <v>220</v>
      </c>
      <c r="F42" s="691" t="s">
        <v>221</v>
      </c>
      <c r="G42" s="691" t="s">
        <v>222</v>
      </c>
      <c r="H42" s="691" t="s">
        <v>223</v>
      </c>
      <c r="I42" s="691" t="s">
        <v>224</v>
      </c>
      <c r="J42" s="691" t="s">
        <v>225</v>
      </c>
      <c r="K42" s="692" t="s">
        <v>226</v>
      </c>
      <c r="L42" s="692" t="s">
        <v>227</v>
      </c>
    </row>
    <row r="43" spans="1:12" ht="11.25" customHeight="1">
      <c r="A43" s="693" t="s">
        <v>144</v>
      </c>
      <c r="B43" s="677" t="s">
        <v>149</v>
      </c>
      <c r="C43" s="449" t="s">
        <v>147</v>
      </c>
      <c r="D43" s="449"/>
      <c r="E43" s="449"/>
      <c r="F43" s="449"/>
      <c r="G43" s="449"/>
      <c r="H43" s="449"/>
      <c r="I43" s="449"/>
      <c r="J43" s="449"/>
      <c r="K43" s="694"/>
      <c r="L43" s="694"/>
    </row>
    <row r="44" spans="1:12" ht="11.25" customHeight="1">
      <c r="A44" s="679"/>
      <c r="B44" s="678"/>
      <c r="C44" s="695" t="s">
        <v>146</v>
      </c>
      <c r="D44" s="695"/>
      <c r="E44" s="695"/>
      <c r="F44" s="695"/>
      <c r="G44" s="695"/>
      <c r="H44" s="695"/>
      <c r="I44" s="695"/>
      <c r="J44" s="695"/>
      <c r="K44" s="696"/>
      <c r="L44" s="696"/>
    </row>
    <row r="45" spans="1:12" ht="11.25" customHeight="1">
      <c r="A45" s="1" t="s">
        <v>914</v>
      </c>
      <c r="B45" s="116">
        <f aca="true" t="shared" si="0" ref="B45:L45">SUM(B46:B50)</f>
        <v>0</v>
      </c>
      <c r="C45" s="116">
        <f t="shared" si="0"/>
        <v>0</v>
      </c>
      <c r="D45" s="116">
        <f t="shared" si="0"/>
        <v>0</v>
      </c>
      <c r="E45" s="116">
        <f t="shared" si="0"/>
        <v>0</v>
      </c>
      <c r="F45" s="116">
        <f t="shared" si="0"/>
        <v>0</v>
      </c>
      <c r="G45" s="116">
        <f t="shared" si="0"/>
        <v>0</v>
      </c>
      <c r="H45" s="116">
        <f t="shared" si="0"/>
        <v>0</v>
      </c>
      <c r="I45" s="116">
        <f t="shared" si="0"/>
        <v>0</v>
      </c>
      <c r="J45" s="116">
        <f t="shared" si="0"/>
        <v>0</v>
      </c>
      <c r="K45" s="116">
        <f t="shared" si="0"/>
        <v>0</v>
      </c>
      <c r="L45" s="119">
        <f t="shared" si="0"/>
        <v>0</v>
      </c>
    </row>
    <row r="46" spans="2:12" ht="11.25" customHeight="1">
      <c r="B46" s="116"/>
      <c r="C46" s="116"/>
      <c r="D46" s="116"/>
      <c r="E46" s="116"/>
      <c r="F46" s="116"/>
      <c r="G46" s="116"/>
      <c r="H46" s="116"/>
      <c r="I46" s="116"/>
      <c r="J46" s="116"/>
      <c r="K46" s="118"/>
      <c r="L46" s="118"/>
    </row>
    <row r="47" spans="2:12" ht="11.2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8"/>
      <c r="L47" s="118"/>
    </row>
    <row r="48" spans="2:12" ht="11.25" customHeight="1">
      <c r="B48" s="116"/>
      <c r="C48" s="116"/>
      <c r="D48" s="116"/>
      <c r="E48" s="116"/>
      <c r="F48" s="116"/>
      <c r="G48" s="116"/>
      <c r="H48" s="116"/>
      <c r="I48" s="116"/>
      <c r="J48" s="116"/>
      <c r="K48" s="118"/>
      <c r="L48" s="118"/>
    </row>
    <row r="49" spans="2:12" ht="11.2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8"/>
      <c r="L49" s="118"/>
    </row>
    <row r="50" spans="2:12" ht="11.2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8"/>
      <c r="L50" s="118"/>
    </row>
    <row r="51" spans="1:12" ht="11.25" customHeight="1">
      <c r="A51" s="1" t="s">
        <v>915</v>
      </c>
      <c r="B51" s="116">
        <f aca="true" t="shared" si="1" ref="B51:L51">SUM(B52:B56)</f>
        <v>0</v>
      </c>
      <c r="C51" s="116">
        <f t="shared" si="1"/>
        <v>0</v>
      </c>
      <c r="D51" s="116">
        <f t="shared" si="1"/>
        <v>0</v>
      </c>
      <c r="E51" s="116">
        <f t="shared" si="1"/>
        <v>0</v>
      </c>
      <c r="F51" s="116">
        <f t="shared" si="1"/>
        <v>0</v>
      </c>
      <c r="G51" s="116">
        <f t="shared" si="1"/>
        <v>0</v>
      </c>
      <c r="H51" s="116">
        <f t="shared" si="1"/>
        <v>0</v>
      </c>
      <c r="I51" s="116">
        <f t="shared" si="1"/>
        <v>0</v>
      </c>
      <c r="J51" s="116">
        <f t="shared" si="1"/>
        <v>0</v>
      </c>
      <c r="K51" s="116">
        <f t="shared" si="1"/>
        <v>0</v>
      </c>
      <c r="L51" s="118">
        <f t="shared" si="1"/>
        <v>0</v>
      </c>
    </row>
    <row r="52" spans="2:12" ht="11.25" customHeight="1">
      <c r="B52" s="116"/>
      <c r="C52" s="116"/>
      <c r="D52" s="116"/>
      <c r="E52" s="116"/>
      <c r="F52" s="116"/>
      <c r="G52" s="116"/>
      <c r="H52" s="116"/>
      <c r="I52" s="116"/>
      <c r="J52" s="116"/>
      <c r="K52" s="118"/>
      <c r="L52" s="118"/>
    </row>
    <row r="53" spans="1:12" ht="11.25" customHeight="1">
      <c r="A53" s="2"/>
      <c r="B53" s="116"/>
      <c r="C53" s="116"/>
      <c r="D53" s="116"/>
      <c r="E53" s="116"/>
      <c r="F53" s="116"/>
      <c r="G53" s="116"/>
      <c r="H53" s="116"/>
      <c r="I53" s="116"/>
      <c r="J53" s="116"/>
      <c r="K53" s="118"/>
      <c r="L53" s="118"/>
    </row>
    <row r="54" spans="1:12" ht="11.25" customHeight="1">
      <c r="A54" s="2"/>
      <c r="B54" s="116"/>
      <c r="C54" s="116"/>
      <c r="D54" s="116"/>
      <c r="E54" s="116"/>
      <c r="F54" s="116"/>
      <c r="G54" s="116"/>
      <c r="H54" s="116"/>
      <c r="I54" s="116"/>
      <c r="J54" s="116"/>
      <c r="K54" s="118"/>
      <c r="L54" s="118"/>
    </row>
    <row r="55" spans="1:12" ht="11.25" customHeight="1">
      <c r="A55" s="2"/>
      <c r="B55" s="116"/>
      <c r="C55" s="116"/>
      <c r="D55" s="116"/>
      <c r="E55" s="116"/>
      <c r="F55" s="116"/>
      <c r="G55" s="116"/>
      <c r="H55" s="116"/>
      <c r="I55" s="116"/>
      <c r="J55" s="116"/>
      <c r="K55" s="118"/>
      <c r="L55" s="118"/>
    </row>
    <row r="56" spans="1:12" ht="11.25" customHeight="1">
      <c r="A56" s="2"/>
      <c r="B56" s="116"/>
      <c r="C56" s="116"/>
      <c r="D56" s="116"/>
      <c r="E56" s="116"/>
      <c r="F56" s="116"/>
      <c r="G56" s="116"/>
      <c r="H56" s="116"/>
      <c r="I56" s="116"/>
      <c r="J56" s="116"/>
      <c r="K56" s="118"/>
      <c r="L56" s="118"/>
    </row>
    <row r="57" spans="1:12" ht="11.25" customHeight="1">
      <c r="A57" s="1" t="s">
        <v>916</v>
      </c>
      <c r="B57" s="116">
        <f aca="true" t="shared" si="2" ref="B57:L57">SUM(B58:B62)</f>
        <v>0</v>
      </c>
      <c r="C57" s="116">
        <f t="shared" si="2"/>
        <v>0</v>
      </c>
      <c r="D57" s="116">
        <f t="shared" si="2"/>
        <v>0</v>
      </c>
      <c r="E57" s="116">
        <f t="shared" si="2"/>
        <v>0</v>
      </c>
      <c r="F57" s="116">
        <f t="shared" si="2"/>
        <v>0</v>
      </c>
      <c r="G57" s="116">
        <f t="shared" si="2"/>
        <v>0</v>
      </c>
      <c r="H57" s="116">
        <f t="shared" si="2"/>
        <v>0</v>
      </c>
      <c r="I57" s="116">
        <f t="shared" si="2"/>
        <v>0</v>
      </c>
      <c r="J57" s="116">
        <f t="shared" si="2"/>
        <v>0</v>
      </c>
      <c r="K57" s="116">
        <f t="shared" si="2"/>
        <v>0</v>
      </c>
      <c r="L57" s="118">
        <f t="shared" si="2"/>
        <v>0</v>
      </c>
    </row>
    <row r="58" spans="2:12" ht="11.2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8"/>
      <c r="L58" s="118"/>
    </row>
    <row r="59" spans="1:12" ht="11.25" customHeight="1">
      <c r="A59" s="2"/>
      <c r="B59" s="116"/>
      <c r="C59" s="116"/>
      <c r="D59" s="116"/>
      <c r="E59" s="116"/>
      <c r="F59" s="116"/>
      <c r="G59" s="116"/>
      <c r="H59" s="116"/>
      <c r="I59" s="116"/>
      <c r="J59" s="116"/>
      <c r="K59" s="118"/>
      <c r="L59" s="118"/>
    </row>
    <row r="60" spans="1:12" ht="11.25" customHeight="1">
      <c r="A60" s="2"/>
      <c r="B60" s="116"/>
      <c r="C60" s="116"/>
      <c r="D60" s="116"/>
      <c r="E60" s="116"/>
      <c r="F60" s="116"/>
      <c r="G60" s="116"/>
      <c r="H60" s="116"/>
      <c r="I60" s="116"/>
      <c r="J60" s="116"/>
      <c r="K60" s="118"/>
      <c r="L60" s="118"/>
    </row>
    <row r="61" spans="1:12" ht="11.25" customHeight="1">
      <c r="A61" s="2"/>
      <c r="B61" s="116"/>
      <c r="C61" s="116"/>
      <c r="D61" s="116"/>
      <c r="E61" s="116"/>
      <c r="F61" s="116"/>
      <c r="G61" s="116"/>
      <c r="H61" s="116"/>
      <c r="I61" s="116"/>
      <c r="J61" s="116"/>
      <c r="K61" s="118"/>
      <c r="L61" s="118"/>
    </row>
    <row r="62" spans="1:12" ht="11.25" customHeight="1">
      <c r="A62" s="2"/>
      <c r="B62" s="116"/>
      <c r="C62" s="116"/>
      <c r="D62" s="116"/>
      <c r="E62" s="116"/>
      <c r="F62" s="116"/>
      <c r="G62" s="116"/>
      <c r="H62" s="116"/>
      <c r="I62" s="116"/>
      <c r="J62" s="116"/>
      <c r="K62" s="118"/>
      <c r="L62" s="118"/>
    </row>
    <row r="63" spans="1:12" ht="11.25" customHeight="1">
      <c r="A63" s="1" t="s">
        <v>917</v>
      </c>
      <c r="B63" s="116">
        <f aca="true" t="shared" si="3" ref="B63:L63">SUM(B64:B68)</f>
        <v>0</v>
      </c>
      <c r="C63" s="116">
        <f t="shared" si="3"/>
        <v>0</v>
      </c>
      <c r="D63" s="116">
        <f t="shared" si="3"/>
        <v>0</v>
      </c>
      <c r="E63" s="116">
        <f t="shared" si="3"/>
        <v>0</v>
      </c>
      <c r="F63" s="116">
        <f t="shared" si="3"/>
        <v>0</v>
      </c>
      <c r="G63" s="116">
        <f t="shared" si="3"/>
        <v>0</v>
      </c>
      <c r="H63" s="116">
        <f t="shared" si="3"/>
        <v>0</v>
      </c>
      <c r="I63" s="116">
        <f t="shared" si="3"/>
        <v>0</v>
      </c>
      <c r="J63" s="116">
        <f t="shared" si="3"/>
        <v>0</v>
      </c>
      <c r="K63" s="116">
        <f t="shared" si="3"/>
        <v>0</v>
      </c>
      <c r="L63" s="118">
        <f t="shared" si="3"/>
        <v>0</v>
      </c>
    </row>
    <row r="64" spans="2:12" ht="11.25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8"/>
      <c r="L64" s="118"/>
    </row>
    <row r="65" spans="1:12" ht="11.25" customHeight="1">
      <c r="A65" s="2"/>
      <c r="B65" s="116"/>
      <c r="C65" s="116"/>
      <c r="D65" s="116"/>
      <c r="E65" s="116"/>
      <c r="F65" s="116"/>
      <c r="G65" s="116"/>
      <c r="H65" s="116"/>
      <c r="I65" s="116"/>
      <c r="J65" s="116"/>
      <c r="K65" s="118"/>
      <c r="L65" s="118"/>
    </row>
    <row r="66" spans="1:12" ht="11.25" customHeight="1">
      <c r="A66" s="2"/>
      <c r="B66" s="116"/>
      <c r="C66" s="116"/>
      <c r="D66" s="116"/>
      <c r="E66" s="116"/>
      <c r="F66" s="116"/>
      <c r="G66" s="116"/>
      <c r="H66" s="116"/>
      <c r="I66" s="116"/>
      <c r="J66" s="116"/>
      <c r="K66" s="118"/>
      <c r="L66" s="118"/>
    </row>
    <row r="67" spans="1:12" ht="11.25" customHeight="1">
      <c r="A67" s="2"/>
      <c r="B67" s="116"/>
      <c r="C67" s="116"/>
      <c r="D67" s="116"/>
      <c r="E67" s="116"/>
      <c r="F67" s="116"/>
      <c r="G67" s="116"/>
      <c r="H67" s="116"/>
      <c r="I67" s="116"/>
      <c r="J67" s="116"/>
      <c r="K67" s="118"/>
      <c r="L67" s="118"/>
    </row>
    <row r="68" spans="1:12" ht="11.25" customHeight="1">
      <c r="A68" s="3"/>
      <c r="B68" s="132"/>
      <c r="C68" s="132"/>
      <c r="D68" s="132"/>
      <c r="E68" s="132"/>
      <c r="F68" s="132"/>
      <c r="G68" s="132"/>
      <c r="H68" s="132"/>
      <c r="I68" s="132"/>
      <c r="J68" s="132"/>
      <c r="K68" s="133"/>
      <c r="L68" s="133"/>
    </row>
    <row r="69" spans="1:12" ht="11.25" customHeight="1">
      <c r="A69" s="3" t="s">
        <v>918</v>
      </c>
      <c r="B69" s="128">
        <f aca="true" t="shared" si="4" ref="B69:L69">B45+B51</f>
        <v>0</v>
      </c>
      <c r="C69" s="128">
        <f t="shared" si="4"/>
        <v>0</v>
      </c>
      <c r="D69" s="128">
        <f t="shared" si="4"/>
        <v>0</v>
      </c>
      <c r="E69" s="128">
        <f t="shared" si="4"/>
        <v>0</v>
      </c>
      <c r="F69" s="128">
        <f t="shared" si="4"/>
        <v>0</v>
      </c>
      <c r="G69" s="128">
        <f t="shared" si="4"/>
        <v>0</v>
      </c>
      <c r="H69" s="128">
        <f t="shared" si="4"/>
        <v>0</v>
      </c>
      <c r="I69" s="128">
        <f t="shared" si="4"/>
        <v>0</v>
      </c>
      <c r="J69" s="128">
        <f t="shared" si="4"/>
        <v>0</v>
      </c>
      <c r="K69" s="128">
        <f t="shared" si="4"/>
        <v>0</v>
      </c>
      <c r="L69" s="129">
        <f t="shared" si="4"/>
        <v>0</v>
      </c>
    </row>
    <row r="70" spans="1:12" ht="11.25" customHeight="1">
      <c r="A70" s="3" t="s">
        <v>919</v>
      </c>
      <c r="B70" s="128">
        <f aca="true" t="shared" si="5" ref="B70:L70">B57+B63</f>
        <v>0</v>
      </c>
      <c r="C70" s="128">
        <f t="shared" si="5"/>
        <v>0</v>
      </c>
      <c r="D70" s="128">
        <f t="shared" si="5"/>
        <v>0</v>
      </c>
      <c r="E70" s="128">
        <f t="shared" si="5"/>
        <v>0</v>
      </c>
      <c r="F70" s="128">
        <f t="shared" si="5"/>
        <v>0</v>
      </c>
      <c r="G70" s="128">
        <f t="shared" si="5"/>
        <v>0</v>
      </c>
      <c r="H70" s="128">
        <f t="shared" si="5"/>
        <v>0</v>
      </c>
      <c r="I70" s="128">
        <f t="shared" si="5"/>
        <v>0</v>
      </c>
      <c r="J70" s="128">
        <f t="shared" si="5"/>
        <v>0</v>
      </c>
      <c r="K70" s="128">
        <f t="shared" si="5"/>
        <v>0</v>
      </c>
      <c r="L70" s="129">
        <f t="shared" si="5"/>
        <v>0</v>
      </c>
    </row>
    <row r="71" spans="1:12" ht="11.25" customHeight="1">
      <c r="A71" s="3" t="s">
        <v>920</v>
      </c>
      <c r="B71" s="128">
        <f aca="true" t="shared" si="6" ref="B71:L71">B69+B70</f>
        <v>0</v>
      </c>
      <c r="C71" s="128">
        <f t="shared" si="6"/>
        <v>0</v>
      </c>
      <c r="D71" s="128">
        <f t="shared" si="6"/>
        <v>0</v>
      </c>
      <c r="E71" s="128">
        <f t="shared" si="6"/>
        <v>0</v>
      </c>
      <c r="F71" s="128">
        <f t="shared" si="6"/>
        <v>0</v>
      </c>
      <c r="G71" s="128">
        <f t="shared" si="6"/>
        <v>0</v>
      </c>
      <c r="H71" s="128">
        <f t="shared" si="6"/>
        <v>0</v>
      </c>
      <c r="I71" s="128">
        <f t="shared" si="6"/>
        <v>0</v>
      </c>
      <c r="J71" s="128">
        <f t="shared" si="6"/>
        <v>0</v>
      </c>
      <c r="K71" s="128">
        <f t="shared" si="6"/>
        <v>0</v>
      </c>
      <c r="L71" s="129">
        <f t="shared" si="6"/>
        <v>0</v>
      </c>
    </row>
    <row r="72" spans="1:12" ht="11.25" customHeight="1">
      <c r="A72" s="3" t="s">
        <v>921</v>
      </c>
      <c r="B72" s="128"/>
      <c r="C72" s="128">
        <f>'RREO-Anexo 03'!N50</f>
        <v>1153920245.4999998</v>
      </c>
      <c r="D72" s="128"/>
      <c r="E72" s="128"/>
      <c r="F72" s="128"/>
      <c r="G72" s="128"/>
      <c r="H72" s="128"/>
      <c r="I72" s="128"/>
      <c r="J72" s="128"/>
      <c r="K72" s="133"/>
      <c r="L72" s="129"/>
    </row>
    <row r="73" spans="1:13" ht="11.25" customHeight="1">
      <c r="A73" s="3" t="s">
        <v>922</v>
      </c>
      <c r="B73" s="128">
        <f aca="true" t="shared" si="7" ref="B73:L73">B69</f>
        <v>0</v>
      </c>
      <c r="C73" s="128">
        <f t="shared" si="7"/>
        <v>0</v>
      </c>
      <c r="D73" s="128">
        <f t="shared" si="7"/>
        <v>0</v>
      </c>
      <c r="E73" s="128">
        <f t="shared" si="7"/>
        <v>0</v>
      </c>
      <c r="F73" s="128">
        <f t="shared" si="7"/>
        <v>0</v>
      </c>
      <c r="G73" s="128">
        <f t="shared" si="7"/>
        <v>0</v>
      </c>
      <c r="H73" s="128">
        <f t="shared" si="7"/>
        <v>0</v>
      </c>
      <c r="I73" s="128">
        <f t="shared" si="7"/>
        <v>0</v>
      </c>
      <c r="J73" s="128">
        <f t="shared" si="7"/>
        <v>0</v>
      </c>
      <c r="K73" s="128">
        <f t="shared" si="7"/>
        <v>0</v>
      </c>
      <c r="L73" s="129">
        <f t="shared" si="7"/>
        <v>0</v>
      </c>
      <c r="M73" s="450"/>
    </row>
    <row r="74" spans="1:13" ht="11.25" customHeight="1">
      <c r="A74" s="3" t="s">
        <v>923</v>
      </c>
      <c r="B74" s="128">
        <f aca="true" t="shared" si="8" ref="B74:L74">IF(B72&gt;0,ROUND(B69/B72,2),0)*100</f>
        <v>0</v>
      </c>
      <c r="C74" s="128">
        <f t="shared" si="8"/>
        <v>0</v>
      </c>
      <c r="D74" s="128">
        <f t="shared" si="8"/>
        <v>0</v>
      </c>
      <c r="E74" s="128">
        <f t="shared" si="8"/>
        <v>0</v>
      </c>
      <c r="F74" s="128">
        <f t="shared" si="8"/>
        <v>0</v>
      </c>
      <c r="G74" s="128">
        <f t="shared" si="8"/>
        <v>0</v>
      </c>
      <c r="H74" s="128">
        <f t="shared" si="8"/>
        <v>0</v>
      </c>
      <c r="I74" s="128">
        <f t="shared" si="8"/>
        <v>0</v>
      </c>
      <c r="J74" s="128">
        <f t="shared" si="8"/>
        <v>0</v>
      </c>
      <c r="K74" s="128">
        <f t="shared" si="8"/>
        <v>0</v>
      </c>
      <c r="L74" s="129">
        <f t="shared" si="8"/>
        <v>0</v>
      </c>
      <c r="M74" s="450"/>
    </row>
    <row r="75" spans="1:13" ht="12.75">
      <c r="A75" s="902" t="s">
        <v>1071</v>
      </c>
      <c r="B75" s="903"/>
      <c r="C75" s="903"/>
      <c r="D75" s="903"/>
      <c r="E75" s="903"/>
      <c r="F75" s="903"/>
      <c r="G75" s="903"/>
      <c r="H75" s="903"/>
      <c r="I75" s="903"/>
      <c r="J75" s="903"/>
      <c r="K75" s="903"/>
      <c r="L75" s="903"/>
      <c r="M75" s="340"/>
    </row>
    <row r="76" ht="11.25" customHeight="1">
      <c r="A76" s="450"/>
    </row>
    <row r="79" s="348" customFormat="1" ht="11.25" customHeight="1">
      <c r="H79" s="350"/>
    </row>
    <row r="80" spans="1:6" s="369" customFormat="1" ht="11.25" customHeight="1">
      <c r="A80" s="518" t="s">
        <v>1055</v>
      </c>
      <c r="B80" s="518" t="s">
        <v>1057</v>
      </c>
      <c r="C80" s="518"/>
      <c r="E80" s="518"/>
      <c r="F80" s="519" t="s">
        <v>1059</v>
      </c>
    </row>
    <row r="81" spans="1:6" s="369" customFormat="1" ht="11.25" customHeight="1">
      <c r="A81" s="518" t="s">
        <v>1056</v>
      </c>
      <c r="B81" s="518" t="s">
        <v>1058</v>
      </c>
      <c r="C81" s="518"/>
      <c r="E81" s="518"/>
      <c r="F81" s="518" t="s">
        <v>1060</v>
      </c>
    </row>
    <row r="82" spans="1:6" s="369" customFormat="1" ht="11.25" customHeight="1">
      <c r="A82" s="522"/>
      <c r="B82" s="565" t="s">
        <v>1073</v>
      </c>
      <c r="C82" s="565"/>
      <c r="E82" s="565"/>
      <c r="F82" s="522" t="s">
        <v>1074</v>
      </c>
    </row>
    <row r="83" s="348" customFormat="1" ht="11.25" customHeight="1">
      <c r="H83" s="350"/>
    </row>
  </sheetData>
  <sheetProtection/>
  <mergeCells count="11">
    <mergeCell ref="A15:M15"/>
    <mergeCell ref="A11:M11"/>
    <mergeCell ref="A14:M14"/>
    <mergeCell ref="K17:L17"/>
    <mergeCell ref="A16:M16"/>
    <mergeCell ref="C18:D18"/>
    <mergeCell ref="A75:L75"/>
    <mergeCell ref="D19:D20"/>
    <mergeCell ref="A18:A19"/>
    <mergeCell ref="F17:G17"/>
    <mergeCell ref="H17:I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191"/>
  <sheetViews>
    <sheetView showGridLines="0" zoomScalePageLayoutView="0" workbookViewId="0" topLeftCell="A1">
      <selection activeCell="A1" sqref="A1"/>
    </sheetView>
  </sheetViews>
  <sheetFormatPr defaultColWidth="0.9921875" defaultRowHeight="11.25" customHeight="1"/>
  <cols>
    <col min="1" max="1" width="84.7109375" style="333" customWidth="1"/>
    <col min="2" max="5" width="19.00390625" style="333" customWidth="1"/>
    <col min="6" max="59" width="15.7109375" style="333" customWidth="1"/>
    <col min="60" max="16384" width="0.9921875" style="333" customWidth="1"/>
  </cols>
  <sheetData>
    <row r="1" s="103" customFormat="1" ht="12.75"/>
    <row r="2" s="103" customFormat="1" ht="25.5" customHeight="1">
      <c r="A2" s="497" t="s">
        <v>1050</v>
      </c>
    </row>
    <row r="3" s="103" customFormat="1" ht="15.75" customHeight="1">
      <c r="A3" s="289" t="s">
        <v>1051</v>
      </c>
    </row>
    <row r="4" s="103" customFormat="1" ht="15.75" customHeight="1">
      <c r="A4" s="289" t="s">
        <v>1052</v>
      </c>
    </row>
    <row r="5" s="103" customFormat="1" ht="15.75" customHeight="1">
      <c r="A5" s="289" t="s">
        <v>1053</v>
      </c>
    </row>
    <row r="6" spans="1:23" s="103" customFormat="1" ht="15.75">
      <c r="A6" s="104" t="s">
        <v>347</v>
      </c>
      <c r="B6" s="104"/>
      <c r="C6" s="104"/>
      <c r="D6" s="104"/>
      <c r="E6" s="104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</row>
    <row r="7" s="103" customFormat="1" ht="12.75">
      <c r="A7" s="105"/>
    </row>
    <row r="8" spans="1:23" ht="12.75">
      <c r="A8" s="484" t="s">
        <v>1050</v>
      </c>
      <c r="B8" s="106"/>
      <c r="C8" s="106"/>
      <c r="D8" s="106"/>
      <c r="E8" s="106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3" s="103" customFormat="1" ht="12.75">
      <c r="A9" s="443" t="s">
        <v>68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</row>
    <row r="10" spans="1:5" s="103" customFormat="1" ht="12.75">
      <c r="A10" s="107" t="s">
        <v>215</v>
      </c>
      <c r="B10" s="107"/>
      <c r="C10" s="107"/>
      <c r="D10" s="107"/>
      <c r="E10" s="107"/>
    </row>
    <row r="11" spans="1:5" s="103" customFormat="1" ht="12.75">
      <c r="A11" s="745" t="s">
        <v>70</v>
      </c>
      <c r="B11" s="745"/>
      <c r="C11" s="745"/>
      <c r="D11" s="745"/>
      <c r="E11" s="745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2" s="103" customFormat="1" ht="12.75">
      <c r="A13" s="333" t="s">
        <v>1054</v>
      </c>
      <c r="B13" s="305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</row>
    <row r="14" spans="1:5" s="103" customFormat="1" ht="12.75" hidden="1">
      <c r="A14" s="745"/>
      <c r="B14" s="745"/>
      <c r="C14" s="745"/>
      <c r="D14" s="745"/>
      <c r="E14" s="745"/>
    </row>
    <row r="15" spans="1:5" s="103" customFormat="1" ht="12.75" hidden="1">
      <c r="A15" s="745"/>
      <c r="B15" s="745"/>
      <c r="C15" s="745"/>
      <c r="D15" s="745"/>
      <c r="E15" s="745"/>
    </row>
    <row r="16" spans="1:5" s="103" customFormat="1" ht="11.25" customHeight="1" hidden="1">
      <c r="A16" s="106"/>
      <c r="B16" s="106"/>
      <c r="C16" s="106"/>
      <c r="D16" s="106"/>
      <c r="E16" s="106"/>
    </row>
    <row r="17" spans="1:5" s="103" customFormat="1" ht="11.25" customHeight="1" hidden="1">
      <c r="A17" s="106"/>
      <c r="B17" s="106"/>
      <c r="C17" s="106"/>
      <c r="D17" s="106"/>
      <c r="E17" s="106"/>
    </row>
    <row r="18" spans="1:5" s="103" customFormat="1" ht="12.75">
      <c r="A18" s="109"/>
      <c r="B18" s="109"/>
      <c r="C18" s="109"/>
      <c r="D18" s="109"/>
      <c r="E18" s="109"/>
    </row>
    <row r="19" spans="1:2" s="103" customFormat="1" ht="12.75">
      <c r="A19" s="103" t="s">
        <v>4</v>
      </c>
      <c r="B19" s="111" t="s">
        <v>360</v>
      </c>
    </row>
    <row r="20" spans="1:6" s="466" customFormat="1" ht="21" customHeight="1">
      <c r="A20" s="686" t="s">
        <v>69</v>
      </c>
      <c r="B20" s="721" t="str">
        <f>CONCATENATE("Até o  ",B13)</f>
        <v>Até o  Bimestre</v>
      </c>
      <c r="C20" s="465"/>
      <c r="D20" s="465"/>
      <c r="E20" s="465"/>
      <c r="F20" s="465"/>
    </row>
    <row r="21" spans="1:6" ht="11.25" customHeight="1">
      <c r="A21" s="467" t="s">
        <v>73</v>
      </c>
      <c r="B21" s="468"/>
      <c r="C21" s="469"/>
      <c r="D21" s="469"/>
      <c r="E21" s="469"/>
      <c r="F21" s="469"/>
    </row>
    <row r="22" spans="1:6" ht="11.25" customHeight="1">
      <c r="A22" s="470" t="s">
        <v>312</v>
      </c>
      <c r="B22" s="471">
        <f>'RREO-Anexo 01'!B95</f>
        <v>1200000000</v>
      </c>
      <c r="C22" s="469"/>
      <c r="D22" s="469"/>
      <c r="E22" s="469"/>
      <c r="F22" s="469"/>
    </row>
    <row r="23" spans="1:6" ht="11.25" customHeight="1">
      <c r="A23" s="470" t="s">
        <v>313</v>
      </c>
      <c r="B23" s="471">
        <f>'RREO-Anexo 01'!C95</f>
        <v>1200000000.31</v>
      </c>
      <c r="C23" s="469"/>
      <c r="D23" s="469"/>
      <c r="E23" s="469"/>
      <c r="F23" s="469"/>
    </row>
    <row r="24" spans="1:6" ht="11.25" customHeight="1">
      <c r="A24" s="470" t="s">
        <v>38</v>
      </c>
      <c r="B24" s="471">
        <f>'RREO-Anexo 01'!F95</f>
        <v>218196841.15</v>
      </c>
      <c r="C24" s="469"/>
      <c r="D24" s="469"/>
      <c r="E24" s="469"/>
      <c r="F24" s="469"/>
    </row>
    <row r="25" spans="1:6" ht="11.25" customHeight="1">
      <c r="A25" s="470" t="s">
        <v>39</v>
      </c>
      <c r="B25" s="471">
        <f>'RREO-Anexo 01'!F96</f>
        <v>0</v>
      </c>
      <c r="C25" s="469"/>
      <c r="D25" s="469"/>
      <c r="E25" s="469"/>
      <c r="F25" s="469"/>
    </row>
    <row r="26" spans="1:6" ht="11.25" customHeight="1">
      <c r="A26" s="470" t="s">
        <v>40</v>
      </c>
      <c r="B26" s="471">
        <f>'RREO-Anexo 01'!F98</f>
        <v>48921084.99</v>
      </c>
      <c r="C26" s="469"/>
      <c r="D26" s="469"/>
      <c r="E26" s="469"/>
      <c r="F26" s="469"/>
    </row>
    <row r="27" spans="1:6" ht="11.25" customHeight="1">
      <c r="A27" s="467" t="s">
        <v>106</v>
      </c>
      <c r="B27" s="471"/>
      <c r="C27" s="469"/>
      <c r="D27" s="469"/>
      <c r="E27" s="469"/>
      <c r="F27" s="469"/>
    </row>
    <row r="28" spans="1:6" ht="11.25" customHeight="1">
      <c r="A28" s="382" t="s">
        <v>41</v>
      </c>
      <c r="B28" s="471">
        <f>'RREO-Anexo 01'!B128</f>
        <v>1174530000</v>
      </c>
      <c r="C28" s="469"/>
      <c r="D28" s="469"/>
      <c r="E28" s="469"/>
      <c r="F28" s="469"/>
    </row>
    <row r="29" spans="1:6" ht="11.25" customHeight="1">
      <c r="A29" s="382" t="s">
        <v>42</v>
      </c>
      <c r="B29" s="471">
        <f>'RREO-Anexo 01'!C128</f>
        <v>1223451085.3</v>
      </c>
      <c r="C29" s="469"/>
      <c r="D29" s="469"/>
      <c r="E29" s="469"/>
      <c r="F29" s="469"/>
    </row>
    <row r="30" spans="1:6" ht="11.25" customHeight="1">
      <c r="A30" s="382" t="s">
        <v>43</v>
      </c>
      <c r="B30" s="471">
        <f>'RREO-Anexo 01'!E128</f>
        <v>464579311.50000006</v>
      </c>
      <c r="C30" s="469"/>
      <c r="D30" s="469"/>
      <c r="E30" s="469"/>
      <c r="F30" s="469"/>
    </row>
    <row r="31" spans="1:6" ht="11.25" customHeight="1">
      <c r="A31" s="470" t="s">
        <v>44</v>
      </c>
      <c r="B31" s="471">
        <f>'RREO-Anexo 01'!H128</f>
        <v>149375488.75</v>
      </c>
      <c r="C31" s="469"/>
      <c r="D31" s="469"/>
      <c r="E31" s="469"/>
      <c r="F31" s="469"/>
    </row>
    <row r="32" spans="1:6" ht="11.25" customHeight="1">
      <c r="A32" s="382" t="s">
        <v>591</v>
      </c>
      <c r="B32" s="471">
        <f>'RREO-Anexo 01'!J128</f>
        <v>93031454.19</v>
      </c>
      <c r="C32" s="469"/>
      <c r="D32" s="469"/>
      <c r="E32" s="469"/>
      <c r="F32" s="469"/>
    </row>
    <row r="33" spans="1:6" ht="11.25" customHeight="1">
      <c r="A33" s="472" t="s">
        <v>45</v>
      </c>
      <c r="B33" s="473">
        <f>IF(A13="Período: 6º Bimestre",'RREO-Anexo 01'!E129,'RREO-Anexo 01'!H129)</f>
        <v>68821352.4</v>
      </c>
      <c r="C33" s="469"/>
      <c r="D33" s="469"/>
      <c r="E33" s="469"/>
      <c r="F33" s="469"/>
    </row>
    <row r="34" spans="1:6" ht="11.25" customHeight="1">
      <c r="A34" s="474"/>
      <c r="B34" s="475"/>
      <c r="C34" s="469"/>
      <c r="D34" s="469"/>
      <c r="E34" s="469"/>
      <c r="F34" s="469"/>
    </row>
    <row r="35" spans="1:6" ht="11.25" customHeight="1" hidden="1">
      <c r="A35" s="382"/>
      <c r="B35" s="476"/>
      <c r="C35" s="469"/>
      <c r="D35" s="469"/>
      <c r="E35" s="469"/>
      <c r="F35" s="469"/>
    </row>
    <row r="36" spans="1:6" ht="11.25" customHeight="1" hidden="1">
      <c r="A36" s="382"/>
      <c r="B36" s="476"/>
      <c r="C36" s="469"/>
      <c r="D36" s="469"/>
      <c r="E36" s="469"/>
      <c r="F36" s="469"/>
    </row>
    <row r="37" spans="1:6" ht="11.25" customHeight="1" hidden="1">
      <c r="A37" s="382"/>
      <c r="B37" s="476"/>
      <c r="C37" s="469"/>
      <c r="D37" s="469"/>
      <c r="E37" s="469"/>
      <c r="F37" s="469"/>
    </row>
    <row r="38" spans="1:6" ht="11.25" customHeight="1" hidden="1">
      <c r="A38" s="382"/>
      <c r="B38" s="476"/>
      <c r="C38" s="469"/>
      <c r="D38" s="469"/>
      <c r="E38" s="469"/>
      <c r="F38" s="469"/>
    </row>
    <row r="39" spans="1:6" ht="11.25" customHeight="1" hidden="1">
      <c r="A39" s="382"/>
      <c r="B39" s="476"/>
      <c r="C39" s="469"/>
      <c r="D39" s="469"/>
      <c r="E39" s="469"/>
      <c r="F39" s="469"/>
    </row>
    <row r="40" spans="1:6" ht="11.25" customHeight="1" hidden="1">
      <c r="A40" s="472"/>
      <c r="B40" s="477"/>
      <c r="C40" s="469"/>
      <c r="D40" s="469"/>
      <c r="E40" s="469"/>
      <c r="F40" s="469"/>
    </row>
    <row r="41" spans="1:6" s="466" customFormat="1" ht="21" customHeight="1">
      <c r="A41" s="672" t="s">
        <v>218</v>
      </c>
      <c r="B41" s="722" t="str">
        <f>CONCATENATE("Até o  ",B13)</f>
        <v>Até o  Bimestre</v>
      </c>
      <c r="C41" s="465"/>
      <c r="D41" s="465"/>
      <c r="E41" s="465"/>
      <c r="F41" s="465"/>
    </row>
    <row r="42" spans="1:6" ht="11.25" customHeight="1">
      <c r="A42" s="478" t="s">
        <v>216</v>
      </c>
      <c r="B42" s="468">
        <f>'RREO-Anexo 02'!E214</f>
        <v>464579311.5</v>
      </c>
      <c r="C42" s="469"/>
      <c r="D42" s="469"/>
      <c r="E42" s="469"/>
      <c r="F42" s="469"/>
    </row>
    <row r="43" spans="1:6" ht="11.25" customHeight="1">
      <c r="A43" s="479" t="s">
        <v>217</v>
      </c>
      <c r="B43" s="473">
        <f>'RREO-Anexo 02'!I214</f>
        <v>149375488.75000006</v>
      </c>
      <c r="C43" s="469"/>
      <c r="D43" s="469"/>
      <c r="E43" s="469"/>
      <c r="F43" s="469"/>
    </row>
    <row r="44" spans="1:6" ht="11.25" customHeight="1">
      <c r="A44" s="382"/>
      <c r="B44" s="476"/>
      <c r="C44" s="469"/>
      <c r="D44" s="469"/>
      <c r="E44" s="469"/>
      <c r="F44" s="469"/>
    </row>
    <row r="45" spans="1:6" ht="11.25" customHeight="1" hidden="1">
      <c r="A45" s="382"/>
      <c r="B45" s="476"/>
      <c r="C45" s="469"/>
      <c r="D45" s="469"/>
      <c r="E45" s="469"/>
      <c r="F45" s="469"/>
    </row>
    <row r="46" spans="1:6" ht="11.25" customHeight="1" hidden="1">
      <c r="A46" s="382"/>
      <c r="B46" s="476"/>
      <c r="C46" s="469"/>
      <c r="D46" s="469"/>
      <c r="E46" s="469"/>
      <c r="F46" s="469"/>
    </row>
    <row r="47" spans="1:6" ht="11.25" customHeight="1" hidden="1">
      <c r="A47" s="382"/>
      <c r="B47" s="476"/>
      <c r="C47" s="469"/>
      <c r="D47" s="469"/>
      <c r="E47" s="469"/>
      <c r="F47" s="469"/>
    </row>
    <row r="48" spans="1:6" ht="11.25" customHeight="1" hidden="1">
      <c r="A48" s="382"/>
      <c r="B48" s="476"/>
      <c r="C48" s="469"/>
      <c r="D48" s="469"/>
      <c r="E48" s="469"/>
      <c r="F48" s="469"/>
    </row>
    <row r="49" spans="1:6" ht="11.25" customHeight="1" hidden="1">
      <c r="A49" s="382"/>
      <c r="B49" s="476"/>
      <c r="C49" s="469"/>
      <c r="D49" s="469"/>
      <c r="E49" s="469"/>
      <c r="F49" s="469"/>
    </row>
    <row r="50" spans="1:6" ht="11.25" customHeight="1" hidden="1">
      <c r="A50" s="382"/>
      <c r="B50" s="476"/>
      <c r="C50" s="469"/>
      <c r="D50" s="469"/>
      <c r="E50" s="469"/>
      <c r="F50" s="469"/>
    </row>
    <row r="51" spans="1:6" s="466" customFormat="1" ht="23.25" customHeight="1">
      <c r="A51" s="660" t="s">
        <v>228</v>
      </c>
      <c r="B51" s="721" t="str">
        <f>CONCATENATE("Até o  ",B13)</f>
        <v>Até o  Bimestre</v>
      </c>
      <c r="C51" s="465"/>
      <c r="D51" s="465"/>
      <c r="E51" s="465"/>
      <c r="F51" s="465"/>
    </row>
    <row r="52" spans="1:6" ht="11.25" customHeight="1">
      <c r="A52" s="480" t="s">
        <v>229</v>
      </c>
      <c r="B52" s="468">
        <f>'RREO-Anexo 03'!N50</f>
        <v>1153920245.4999998</v>
      </c>
      <c r="C52" s="469"/>
      <c r="D52" s="469"/>
      <c r="E52" s="469"/>
      <c r="F52" s="469"/>
    </row>
    <row r="53" spans="1:6" ht="11.25" customHeight="1">
      <c r="A53" s="478" t="s">
        <v>932</v>
      </c>
      <c r="B53" s="471">
        <f>'RREO-Anexo 03'!N52</f>
        <v>1150485976.9999998</v>
      </c>
      <c r="C53" s="469"/>
      <c r="D53" s="469"/>
      <c r="E53" s="469"/>
      <c r="F53" s="469"/>
    </row>
    <row r="54" spans="1:6" ht="11.25" customHeight="1">
      <c r="A54" s="481" t="s">
        <v>933</v>
      </c>
      <c r="B54" s="473">
        <f>'RREO-Anexo 03'!N54</f>
        <v>1150485976.9999998</v>
      </c>
      <c r="C54" s="469"/>
      <c r="D54" s="469"/>
      <c r="E54" s="469"/>
      <c r="F54" s="469"/>
    </row>
    <row r="55" spans="1:6" ht="11.25" customHeight="1">
      <c r="A55" s="382"/>
      <c r="B55" s="476"/>
      <c r="C55" s="469"/>
      <c r="D55" s="469"/>
      <c r="E55" s="469"/>
      <c r="F55" s="469"/>
    </row>
    <row r="56" spans="1:6" ht="11.25" customHeight="1" hidden="1">
      <c r="A56" s="382"/>
      <c r="B56" s="476"/>
      <c r="C56" s="469"/>
      <c r="D56" s="469"/>
      <c r="E56" s="469"/>
      <c r="F56" s="469"/>
    </row>
    <row r="57" spans="1:6" ht="11.25" customHeight="1" hidden="1">
      <c r="A57" s="382"/>
      <c r="B57" s="476"/>
      <c r="C57" s="469"/>
      <c r="D57" s="469"/>
      <c r="E57" s="469"/>
      <c r="F57" s="469"/>
    </row>
    <row r="58" spans="1:6" ht="11.25" customHeight="1" hidden="1">
      <c r="A58" s="382"/>
      <c r="B58" s="476"/>
      <c r="C58" s="469"/>
      <c r="D58" s="469"/>
      <c r="E58" s="469"/>
      <c r="F58" s="469"/>
    </row>
    <row r="59" spans="1:6" ht="11.25" customHeight="1" hidden="1">
      <c r="A59" s="382"/>
      <c r="B59" s="476"/>
      <c r="C59" s="469"/>
      <c r="D59" s="469"/>
      <c r="E59" s="469"/>
      <c r="F59" s="469"/>
    </row>
    <row r="60" spans="1:6" ht="11.25" customHeight="1" hidden="1">
      <c r="A60" s="382"/>
      <c r="B60" s="476"/>
      <c r="C60" s="469"/>
      <c r="D60" s="469"/>
      <c r="E60" s="469"/>
      <c r="F60" s="469"/>
    </row>
    <row r="61" spans="1:6" ht="11.25" customHeight="1" hidden="1">
      <c r="A61" s="382"/>
      <c r="B61" s="476"/>
      <c r="C61" s="469"/>
      <c r="D61" s="469"/>
      <c r="E61" s="469"/>
      <c r="F61" s="469"/>
    </row>
    <row r="62" spans="1:6" ht="11.25" customHeight="1">
      <c r="A62" s="382"/>
      <c r="B62" s="476"/>
      <c r="C62" s="469"/>
      <c r="D62" s="469"/>
      <c r="E62" s="469"/>
      <c r="F62" s="469"/>
    </row>
    <row r="63" spans="1:6" ht="11.25" customHeight="1">
      <c r="A63" s="382"/>
      <c r="B63" s="476"/>
      <c r="C63" s="469"/>
      <c r="D63" s="469"/>
      <c r="E63" s="469"/>
      <c r="F63" s="469"/>
    </row>
    <row r="64" spans="1:6" ht="11.25" customHeight="1">
      <c r="A64" s="382"/>
      <c r="B64" s="476"/>
      <c r="C64" s="469"/>
      <c r="D64" s="469"/>
      <c r="E64" s="469"/>
      <c r="F64" s="469"/>
    </row>
    <row r="65" spans="1:6" ht="11.25" customHeight="1">
      <c r="A65" s="382"/>
      <c r="B65" s="476"/>
      <c r="C65" s="469"/>
      <c r="D65" s="469"/>
      <c r="E65" s="469"/>
      <c r="F65" s="469"/>
    </row>
    <row r="66" spans="1:6" ht="11.25" customHeight="1">
      <c r="A66" s="382"/>
      <c r="B66" s="476"/>
      <c r="C66" s="469"/>
      <c r="D66" s="469"/>
      <c r="E66" s="469"/>
      <c r="F66" s="469"/>
    </row>
    <row r="67" spans="1:6" s="466" customFormat="1" ht="21.75" customHeight="1">
      <c r="A67" s="672" t="s">
        <v>46</v>
      </c>
      <c r="B67" s="721" t="str">
        <f>CONCATENATE("Até o  ",B13)</f>
        <v>Até o  Bimestre</v>
      </c>
      <c r="C67" s="465"/>
      <c r="D67" s="465"/>
      <c r="E67" s="465"/>
      <c r="F67" s="465"/>
    </row>
    <row r="68" spans="1:6" s="484" customFormat="1" ht="11.25" customHeight="1">
      <c r="A68" s="482" t="s">
        <v>847</v>
      </c>
      <c r="B68" s="471"/>
      <c r="C68" s="483"/>
      <c r="D68" s="483"/>
      <c r="E68" s="483"/>
      <c r="F68" s="483"/>
    </row>
    <row r="69" spans="1:6" ht="11.25" customHeight="1">
      <c r="A69" s="482" t="s">
        <v>848</v>
      </c>
      <c r="B69" s="471">
        <f>'RREO-Anexo 04'!D54</f>
        <v>10720931.77</v>
      </c>
      <c r="C69" s="469"/>
      <c r="D69" s="469"/>
      <c r="E69" s="469"/>
      <c r="F69" s="469"/>
    </row>
    <row r="70" spans="1:6" ht="11.25" customHeight="1">
      <c r="A70" s="482" t="s">
        <v>924</v>
      </c>
      <c r="B70" s="471">
        <f>'RREO-Anexo 04'!D77</f>
        <v>13303856.87</v>
      </c>
      <c r="C70" s="469"/>
      <c r="D70" s="469"/>
      <c r="E70" s="469"/>
      <c r="F70" s="469"/>
    </row>
    <row r="71" spans="1:6" ht="11.25" customHeight="1">
      <c r="A71" s="482" t="s">
        <v>849</v>
      </c>
      <c r="B71" s="471">
        <f>'RREO-Anexo 04'!F77</f>
        <v>12950556.64</v>
      </c>
      <c r="C71" s="469"/>
      <c r="D71" s="469"/>
      <c r="E71" s="469"/>
      <c r="F71" s="469"/>
    </row>
    <row r="72" spans="1:6" ht="11.25" customHeight="1">
      <c r="A72" s="482" t="s">
        <v>850</v>
      </c>
      <c r="B72" s="471">
        <f>'RREO-Anexo 04'!D78</f>
        <v>-2582925.0999999996</v>
      </c>
      <c r="C72" s="469"/>
      <c r="D72" s="469"/>
      <c r="E72" s="469"/>
      <c r="F72" s="469"/>
    </row>
    <row r="73" spans="1:6" ht="11.25" customHeight="1">
      <c r="A73" s="482" t="s">
        <v>851</v>
      </c>
      <c r="B73" s="471"/>
      <c r="C73" s="469"/>
      <c r="D73" s="469"/>
      <c r="E73" s="469"/>
      <c r="F73" s="469"/>
    </row>
    <row r="74" spans="1:6" ht="11.25" customHeight="1">
      <c r="A74" s="482" t="s">
        <v>848</v>
      </c>
      <c r="B74" s="471">
        <f>'RREO-Anexo 04'!D161</f>
        <v>0</v>
      </c>
      <c r="C74" s="469"/>
      <c r="D74" s="469"/>
      <c r="E74" s="469"/>
      <c r="F74" s="469"/>
    </row>
    <row r="75" spans="1:6" ht="11.25" customHeight="1">
      <c r="A75" s="482" t="s">
        <v>924</v>
      </c>
      <c r="B75" s="471">
        <f>'RREO-Anexo 04'!D182</f>
        <v>0</v>
      </c>
      <c r="C75" s="469"/>
      <c r="D75" s="469"/>
      <c r="E75" s="469"/>
      <c r="F75" s="469"/>
    </row>
    <row r="76" spans="1:6" ht="11.25" customHeight="1">
      <c r="A76" s="482" t="s">
        <v>849</v>
      </c>
      <c r="B76" s="471">
        <f>'RREO-Anexo 04'!F182</f>
        <v>0</v>
      </c>
      <c r="C76" s="469"/>
      <c r="D76" s="469"/>
      <c r="E76" s="469"/>
      <c r="F76" s="469"/>
    </row>
    <row r="77" spans="1:6" ht="11.25" customHeight="1">
      <c r="A77" s="485" t="s">
        <v>850</v>
      </c>
      <c r="B77" s="473">
        <f>'RREO-Anexo 04'!D183</f>
        <v>0</v>
      </c>
      <c r="C77" s="469"/>
      <c r="D77" s="469"/>
      <c r="E77" s="469"/>
      <c r="F77" s="469"/>
    </row>
    <row r="78" spans="1:6" ht="11.25" customHeight="1">
      <c r="A78" s="382"/>
      <c r="B78" s="486"/>
      <c r="C78" s="469"/>
      <c r="D78" s="469"/>
      <c r="E78" s="469"/>
      <c r="F78" s="469"/>
    </row>
    <row r="79" spans="1:6" ht="11.25" customHeight="1" hidden="1">
      <c r="A79" s="382"/>
      <c r="B79" s="486"/>
      <c r="C79" s="469"/>
      <c r="D79" s="469"/>
      <c r="E79" s="469"/>
      <c r="F79" s="469"/>
    </row>
    <row r="80" spans="1:6" ht="11.25" customHeight="1" hidden="1">
      <c r="A80" s="382"/>
      <c r="B80" s="486"/>
      <c r="C80" s="486"/>
      <c r="D80" s="486"/>
      <c r="E80" s="486"/>
      <c r="F80" s="469"/>
    </row>
    <row r="81" spans="2:6" ht="11.25" customHeight="1" hidden="1">
      <c r="B81" s="469"/>
      <c r="C81" s="469"/>
      <c r="D81" s="469"/>
      <c r="E81" s="343"/>
      <c r="F81" s="469"/>
    </row>
    <row r="82" spans="1:6" ht="11.25" customHeight="1">
      <c r="A82" s="658"/>
      <c r="B82" s="710" t="s">
        <v>230</v>
      </c>
      <c r="C82" s="710" t="s">
        <v>231</v>
      </c>
      <c r="D82" s="710" t="s">
        <v>232</v>
      </c>
      <c r="E82" s="469"/>
      <c r="F82" s="469"/>
    </row>
    <row r="83" spans="1:6" ht="11.25" customHeight="1">
      <c r="A83" s="662" t="s">
        <v>233</v>
      </c>
      <c r="B83" s="719" t="s">
        <v>234</v>
      </c>
      <c r="C83" s="719" t="str">
        <f>CONCATENATE("Até o  ",B13)</f>
        <v>Até o  Bimestre</v>
      </c>
      <c r="D83" s="719"/>
      <c r="E83" s="469"/>
      <c r="F83" s="469"/>
    </row>
    <row r="84" spans="1:6" ht="11.25" customHeight="1">
      <c r="A84" s="720"/>
      <c r="B84" s="719" t="s">
        <v>235</v>
      </c>
      <c r="C84" s="719"/>
      <c r="D84" s="719"/>
      <c r="E84" s="469"/>
      <c r="F84" s="469"/>
    </row>
    <row r="85" spans="1:6" ht="11.25" customHeight="1">
      <c r="A85" s="720"/>
      <c r="B85" s="712" t="s">
        <v>79</v>
      </c>
      <c r="C85" s="712" t="s">
        <v>80</v>
      </c>
      <c r="D85" s="719" t="s">
        <v>81</v>
      </c>
      <c r="E85" s="469"/>
      <c r="F85" s="469"/>
    </row>
    <row r="86" spans="1:6" ht="11.25" customHeight="1">
      <c r="A86" s="487" t="s">
        <v>926</v>
      </c>
      <c r="B86" s="149">
        <f>'RREO-Anexo 06'!B104</f>
        <v>18726000</v>
      </c>
      <c r="C86" s="116">
        <f>'RREO-Anexo 06'!B95</f>
        <v>62509064.25</v>
      </c>
      <c r="D86" s="119">
        <f>IF(B86&gt;0,C86/B86,0)</f>
        <v>3.3380895145786607</v>
      </c>
      <c r="E86" s="469"/>
      <c r="F86" s="469"/>
    </row>
    <row r="87" spans="1:6" ht="11.25" customHeight="1">
      <c r="A87" s="479" t="s">
        <v>925</v>
      </c>
      <c r="B87" s="150">
        <f>'RREO-Anexo 06'!B132</f>
        <v>0</v>
      </c>
      <c r="C87" s="132">
        <f>'RREO-Anexo 06'!B123</f>
        <v>67160349.38</v>
      </c>
      <c r="D87" s="133">
        <f>IF(B87&gt;0,C87/B87,0)</f>
        <v>0</v>
      </c>
      <c r="E87" s="469"/>
      <c r="F87" s="469"/>
    </row>
    <row r="88" spans="1:6" ht="11.25" customHeight="1">
      <c r="A88" s="488"/>
      <c r="B88" s="343"/>
      <c r="C88" s="343"/>
      <c r="D88" s="343"/>
      <c r="E88" s="343"/>
      <c r="F88" s="469"/>
    </row>
    <row r="89" spans="1:6" ht="11.25" customHeight="1" hidden="1">
      <c r="A89" s="382"/>
      <c r="B89" s="343"/>
      <c r="C89" s="343"/>
      <c r="D89" s="343"/>
      <c r="E89" s="343"/>
      <c r="F89" s="469"/>
    </row>
    <row r="90" spans="1:6" ht="11.25" customHeight="1" hidden="1">
      <c r="A90" s="382"/>
      <c r="B90" s="343"/>
      <c r="C90" s="343"/>
      <c r="D90" s="343"/>
      <c r="E90" s="343"/>
      <c r="F90" s="469"/>
    </row>
    <row r="91" spans="1:6" ht="11.25" customHeight="1" hidden="1">
      <c r="A91" s="382"/>
      <c r="B91" s="343"/>
      <c r="C91" s="343"/>
      <c r="D91" s="343"/>
      <c r="E91" s="343"/>
      <c r="F91" s="469"/>
    </row>
    <row r="92" spans="1:6" ht="11.25" customHeight="1" hidden="1">
      <c r="A92" s="382"/>
      <c r="B92" s="343"/>
      <c r="C92" s="343"/>
      <c r="D92" s="343"/>
      <c r="E92" s="343"/>
      <c r="F92" s="469"/>
    </row>
    <row r="93" spans="2:6" ht="11.25" customHeight="1" hidden="1">
      <c r="B93" s="469"/>
      <c r="C93" s="469"/>
      <c r="D93" s="469"/>
      <c r="E93" s="469"/>
      <c r="F93" s="469"/>
    </row>
    <row r="94" spans="1:6" ht="11.25" customHeight="1">
      <c r="A94" s="910" t="s">
        <v>47</v>
      </c>
      <c r="B94" s="717" t="s">
        <v>236</v>
      </c>
      <c r="C94" s="710" t="s">
        <v>237</v>
      </c>
      <c r="D94" s="709" t="s">
        <v>592</v>
      </c>
      <c r="E94" s="710" t="s">
        <v>238</v>
      </c>
      <c r="F94" s="469"/>
    </row>
    <row r="95" spans="1:6" ht="11.25" customHeight="1">
      <c r="A95" s="911"/>
      <c r="B95" s="718"/>
      <c r="C95" s="712" t="str">
        <f>CONCATENATE("Até o  ",B13)</f>
        <v>Até o  Bimestre</v>
      </c>
      <c r="D95" s="716" t="str">
        <f>CONCATENATE("Até o  ",B13)</f>
        <v>Até o  Bimestre</v>
      </c>
      <c r="E95" s="712" t="s">
        <v>6</v>
      </c>
      <c r="F95" s="469"/>
    </row>
    <row r="96" spans="1:6" ht="11.25" customHeight="1">
      <c r="A96" s="470" t="s">
        <v>239</v>
      </c>
      <c r="B96" s="149">
        <f>SUM(B97:B98)</f>
        <v>15437842.190000001</v>
      </c>
      <c r="C96" s="149">
        <f>SUM(C97:C98)</f>
        <v>3074.88</v>
      </c>
      <c r="D96" s="149">
        <f>SUM(D97:D98)</f>
        <v>15154775.32</v>
      </c>
      <c r="E96" s="149">
        <f>SUM(E97:E98)</f>
        <v>279991.99000000104</v>
      </c>
      <c r="F96" s="469"/>
    </row>
    <row r="97" spans="1:6" ht="11.25" customHeight="1">
      <c r="A97" s="470" t="s">
        <v>240</v>
      </c>
      <c r="B97" s="149">
        <f>'RREO-Anexo 07'!B24+'RREO-Anexo 07'!C24+'RREO-Anexo 07'!B41+'RREO-Anexo 07'!C41</f>
        <v>15437842.190000001</v>
      </c>
      <c r="C97" s="149">
        <f>'RREO-Anexo 07'!E24+'RREO-Anexo 07'!E41</f>
        <v>3074.88</v>
      </c>
      <c r="D97" s="149">
        <f>'RREO-Anexo 07'!D24+'RREO-Anexo 07'!D41</f>
        <v>15154775.32</v>
      </c>
      <c r="E97" s="149">
        <f>'RREO-Anexo 07'!F24+'RREO-Anexo 07'!F41</f>
        <v>279991.99000000104</v>
      </c>
      <c r="F97" s="469"/>
    </row>
    <row r="98" spans="1:6" ht="11.25" customHeight="1">
      <c r="A98" s="470" t="s">
        <v>241</v>
      </c>
      <c r="B98" s="149">
        <f>'RREO-Anexo 07'!B25+'RREO-Anexo 07'!C25+'RREO-Anexo 07'!B42+'RREO-Anexo 07'!C42</f>
        <v>0</v>
      </c>
      <c r="C98" s="149">
        <f>'RREO-Anexo 07'!E25+'RREO-Anexo 07'!E42</f>
        <v>0</v>
      </c>
      <c r="D98" s="149">
        <f>'RREO-Anexo 07'!D25+'RREO-Anexo 07'!D42</f>
        <v>0</v>
      </c>
      <c r="E98" s="149">
        <f>'RREO-Anexo 07'!F25+'RREO-Anexo 07'!F42</f>
        <v>0</v>
      </c>
      <c r="F98" s="469"/>
    </row>
    <row r="99" spans="1:6" ht="11.25" customHeight="1">
      <c r="A99" s="470" t="s">
        <v>242</v>
      </c>
      <c r="B99" s="149"/>
      <c r="C99" s="149"/>
      <c r="D99" s="149"/>
      <c r="E99" s="149"/>
      <c r="F99" s="469"/>
    </row>
    <row r="100" spans="1:6" ht="11.25" customHeight="1">
      <c r="A100" s="470" t="s">
        <v>243</v>
      </c>
      <c r="B100" s="149"/>
      <c r="C100" s="149"/>
      <c r="D100" s="149"/>
      <c r="E100" s="149"/>
      <c r="F100" s="469"/>
    </row>
    <row r="101" spans="1:6" ht="11.25" customHeight="1">
      <c r="A101" s="470" t="s">
        <v>675</v>
      </c>
      <c r="B101" s="149"/>
      <c r="C101" s="149"/>
      <c r="D101" s="149"/>
      <c r="E101" s="149"/>
      <c r="F101" s="469"/>
    </row>
    <row r="102" spans="1:6" ht="11.25" customHeight="1">
      <c r="A102" s="470" t="s">
        <v>244</v>
      </c>
      <c r="B102" s="149">
        <f>SUM(B103:B104)</f>
        <v>70894129.27000001</v>
      </c>
      <c r="C102" s="149">
        <f>SUM(C103:C104)</f>
        <v>9194437.069999998</v>
      </c>
      <c r="D102" s="149">
        <f>SUM(D103:D104)</f>
        <v>45270490.16</v>
      </c>
      <c r="E102" s="149">
        <f>SUM(E103:E104)</f>
        <v>16429202.040000008</v>
      </c>
      <c r="F102" s="469"/>
    </row>
    <row r="103" spans="1:6" ht="11.25" customHeight="1">
      <c r="A103" s="470" t="s">
        <v>240</v>
      </c>
      <c r="B103" s="149">
        <f>'RREO-Anexo 07'!G24+'RREO-Anexo 07'!H24+'RREO-Anexo 07'!G41+'RREO-Anexo 07'!H41</f>
        <v>69367864.27000001</v>
      </c>
      <c r="C103" s="149">
        <f>'RREO-Anexo 07'!K24+'RREO-Anexo 07'!K41</f>
        <v>9194437.069999998</v>
      </c>
      <c r="D103" s="149">
        <f>'RREO-Anexo 07'!J24+'RREO-Anexo 07'!J41</f>
        <v>44962098.419999994</v>
      </c>
      <c r="E103" s="149">
        <f>'RREO-Anexo 07'!L24+'RREO-Anexo 07'!L41</f>
        <v>15211328.780000009</v>
      </c>
      <c r="F103" s="469"/>
    </row>
    <row r="104" spans="1:6" ht="11.25" customHeight="1">
      <c r="A104" s="470" t="s">
        <v>241</v>
      </c>
      <c r="B104" s="149">
        <f>'RREO-Anexo 07'!G25+'RREO-Anexo 07'!H25+'RREO-Anexo 07'!G42+'RREO-Anexo 07'!H42</f>
        <v>1526265</v>
      </c>
      <c r="C104" s="149">
        <f>'RREO-Anexo 07'!K25+'RREO-Anexo 07'!K42</f>
        <v>0</v>
      </c>
      <c r="D104" s="149">
        <f>'RREO-Anexo 07'!J25+'RREO-Anexo 07'!J42</f>
        <v>308391.74000000005</v>
      </c>
      <c r="E104" s="149">
        <f>'RREO-Anexo 07'!L25+'RREO-Anexo 07'!L42</f>
        <v>1217873.26</v>
      </c>
      <c r="F104" s="469"/>
    </row>
    <row r="105" spans="1:6" ht="11.25" customHeight="1">
      <c r="A105" s="470" t="s">
        <v>242</v>
      </c>
      <c r="B105" s="149"/>
      <c r="C105" s="149"/>
      <c r="D105" s="149"/>
      <c r="E105" s="149"/>
      <c r="F105" s="469"/>
    </row>
    <row r="106" spans="1:6" ht="11.25" customHeight="1">
      <c r="A106" s="470" t="s">
        <v>243</v>
      </c>
      <c r="B106" s="149"/>
      <c r="C106" s="149"/>
      <c r="D106" s="149"/>
      <c r="E106" s="149"/>
      <c r="F106" s="469"/>
    </row>
    <row r="107" spans="1:6" ht="11.25" customHeight="1">
      <c r="A107" s="470" t="s">
        <v>675</v>
      </c>
      <c r="B107" s="149"/>
      <c r="C107" s="149"/>
      <c r="D107" s="149"/>
      <c r="E107" s="149"/>
      <c r="F107" s="469"/>
    </row>
    <row r="108" spans="1:6" ht="11.25" customHeight="1">
      <c r="A108" s="489" t="s">
        <v>115</v>
      </c>
      <c r="B108" s="129">
        <f>B96+B102</f>
        <v>86331971.46000001</v>
      </c>
      <c r="C108" s="129">
        <f>C96+C102</f>
        <v>9197511.95</v>
      </c>
      <c r="D108" s="129">
        <f>D96+D102</f>
        <v>60425265.48</v>
      </c>
      <c r="E108" s="129">
        <f>E96+E102</f>
        <v>16709194.030000009</v>
      </c>
      <c r="F108" s="469"/>
    </row>
    <row r="109" spans="1:6" ht="12" customHeight="1">
      <c r="A109" s="382"/>
      <c r="B109" s="343"/>
      <c r="C109" s="343"/>
      <c r="D109" s="343"/>
      <c r="E109" s="343"/>
      <c r="F109" s="343"/>
    </row>
    <row r="110" spans="1:6" ht="11.25" customHeight="1" hidden="1">
      <c r="A110" s="382"/>
      <c r="B110" s="343"/>
      <c r="C110" s="343"/>
      <c r="D110" s="343"/>
      <c r="E110" s="343"/>
      <c r="F110" s="343"/>
    </row>
    <row r="111" spans="1:6" ht="11.25" customHeight="1" hidden="1">
      <c r="A111" s="382"/>
      <c r="B111" s="343"/>
      <c r="C111" s="343"/>
      <c r="D111" s="343"/>
      <c r="E111" s="343"/>
      <c r="F111" s="343"/>
    </row>
    <row r="112" spans="1:6" ht="11.25" customHeight="1" hidden="1">
      <c r="A112" s="382"/>
      <c r="B112" s="343"/>
      <c r="C112" s="343"/>
      <c r="D112" s="343"/>
      <c r="E112" s="343"/>
      <c r="F112" s="343"/>
    </row>
    <row r="113" spans="1:6" ht="11.25" customHeight="1" hidden="1">
      <c r="A113" s="382"/>
      <c r="B113" s="343"/>
      <c r="C113" s="343"/>
      <c r="D113" s="343"/>
      <c r="E113" s="343"/>
      <c r="F113" s="343"/>
    </row>
    <row r="114" spans="1:6" ht="11.25" customHeight="1" hidden="1">
      <c r="A114" s="382"/>
      <c r="B114" s="343"/>
      <c r="C114" s="343"/>
      <c r="D114" s="343"/>
      <c r="E114" s="343"/>
      <c r="F114" s="343"/>
    </row>
    <row r="115" spans="1:6" ht="11.25" customHeight="1">
      <c r="A115" s="659"/>
      <c r="B115" s="709" t="s">
        <v>245</v>
      </c>
      <c r="C115" s="707" t="s">
        <v>246</v>
      </c>
      <c r="D115" s="714"/>
      <c r="E115" s="469"/>
      <c r="F115" s="469"/>
    </row>
    <row r="116" spans="1:6" ht="11.25" customHeight="1">
      <c r="A116" s="663" t="s">
        <v>49</v>
      </c>
      <c r="B116" s="715" t="s">
        <v>78</v>
      </c>
      <c r="C116" s="709" t="s">
        <v>247</v>
      </c>
      <c r="D116" s="710" t="s">
        <v>816</v>
      </c>
      <c r="E116" s="469"/>
      <c r="F116" s="469"/>
    </row>
    <row r="117" spans="1:6" ht="11.25" customHeight="1">
      <c r="A117" s="669"/>
      <c r="B117" s="712"/>
      <c r="C117" s="716" t="s">
        <v>292</v>
      </c>
      <c r="D117" s="712" t="str">
        <f>CONCATENATE("Até o  ",B13)</f>
        <v>Até o  Bimestre</v>
      </c>
      <c r="E117" s="469"/>
      <c r="F117" s="469"/>
    </row>
    <row r="118" spans="1:6" ht="11.25" customHeight="1">
      <c r="A118" s="490" t="s">
        <v>48</v>
      </c>
      <c r="B118" s="118">
        <f>'RREO-Anexo 08'!B149</f>
        <v>28468320.560000002</v>
      </c>
      <c r="C118" s="116">
        <v>25</v>
      </c>
      <c r="D118" s="119">
        <f>'RREO-Anexo 08'!B151</f>
        <v>19.451837269919352</v>
      </c>
      <c r="E118" s="469"/>
      <c r="F118" s="469"/>
    </row>
    <row r="119" spans="1:6" ht="11.25" customHeight="1">
      <c r="A119" s="490" t="s">
        <v>50</v>
      </c>
      <c r="B119" s="118"/>
      <c r="C119" s="116"/>
      <c r="D119" s="118"/>
      <c r="E119" s="469"/>
      <c r="F119" s="469"/>
    </row>
    <row r="120" spans="1:6" ht="11.25" customHeight="1">
      <c r="A120" s="490" t="s">
        <v>51</v>
      </c>
      <c r="B120" s="118">
        <f>'RREO-Anexo 08'!F86+'RREO-Anexo 08'!H86-'RREO-Anexo 08'!B96-'RREO-Anexo 08'!B99</f>
        <v>10169237.409999998</v>
      </c>
      <c r="C120" s="116">
        <v>60</v>
      </c>
      <c r="D120" s="118">
        <f>'RREO-Anexo 08'!B105</f>
        <v>40.45453090417962</v>
      </c>
      <c r="E120" s="469"/>
      <c r="F120" s="469"/>
    </row>
    <row r="121" spans="1:6" ht="11.25" customHeight="1">
      <c r="A121" s="479" t="s">
        <v>52</v>
      </c>
      <c r="B121" s="133"/>
      <c r="C121" s="132"/>
      <c r="D121" s="133"/>
      <c r="E121" s="469"/>
      <c r="F121" s="469"/>
    </row>
    <row r="122" spans="1:6" ht="11.25" customHeight="1">
      <c r="A122" s="382"/>
      <c r="B122" s="343"/>
      <c r="C122" s="491"/>
      <c r="D122" s="343"/>
      <c r="E122" s="343"/>
      <c r="F122" s="469"/>
    </row>
    <row r="123" spans="1:6" ht="11.25" customHeight="1" hidden="1">
      <c r="A123" s="382"/>
      <c r="B123" s="343"/>
      <c r="C123" s="491"/>
      <c r="D123" s="343"/>
      <c r="E123" s="343"/>
      <c r="F123" s="469"/>
    </row>
    <row r="124" spans="1:6" ht="11.25" customHeight="1" hidden="1">
      <c r="A124" s="382"/>
      <c r="B124" s="343"/>
      <c r="C124" s="491"/>
      <c r="D124" s="343"/>
      <c r="E124" s="343"/>
      <c r="F124" s="469"/>
    </row>
    <row r="125" spans="1:6" ht="11.25" customHeight="1" hidden="1">
      <c r="A125" s="382"/>
      <c r="B125" s="343"/>
      <c r="C125" s="491"/>
      <c r="D125" s="343"/>
      <c r="E125" s="343"/>
      <c r="F125" s="469"/>
    </row>
    <row r="126" spans="1:6" ht="11.25" customHeight="1" hidden="1">
      <c r="A126" s="382"/>
      <c r="B126" s="343"/>
      <c r="C126" s="491"/>
      <c r="D126" s="343"/>
      <c r="E126" s="343"/>
      <c r="F126" s="469"/>
    </row>
    <row r="127" spans="1:6" ht="11.25" customHeight="1" hidden="1">
      <c r="A127" s="382"/>
      <c r="B127" s="343"/>
      <c r="C127" s="491"/>
      <c r="D127" s="343"/>
      <c r="E127" s="343"/>
      <c r="F127" s="469"/>
    </row>
    <row r="128" spans="1:6" ht="11.25" customHeight="1" hidden="1">
      <c r="A128" s="382"/>
      <c r="B128" s="343"/>
      <c r="C128" s="491"/>
      <c r="D128" s="343"/>
      <c r="E128" s="343"/>
      <c r="F128" s="469"/>
    </row>
    <row r="129" spans="1:6" s="466" customFormat="1" ht="21.75" customHeight="1">
      <c r="A129" s="713" t="s">
        <v>293</v>
      </c>
      <c r="B129" s="675" t="s">
        <v>294</v>
      </c>
      <c r="C129" s="705" t="s">
        <v>325</v>
      </c>
      <c r="D129" s="465"/>
      <c r="E129" s="465"/>
      <c r="F129" s="465"/>
    </row>
    <row r="130" spans="1:6" ht="11.25" customHeight="1">
      <c r="A130" s="487" t="s">
        <v>296</v>
      </c>
      <c r="B130" s="117">
        <f>'RREO-Anexo 09'!C20</f>
        <v>0</v>
      </c>
      <c r="C130" s="119">
        <f>'RREO-Anexo 09'!D20</f>
        <v>0</v>
      </c>
      <c r="D130" s="469"/>
      <c r="E130" s="469"/>
      <c r="F130" s="469"/>
    </row>
    <row r="131" spans="1:6" ht="11.25" customHeight="1">
      <c r="A131" s="479" t="s">
        <v>297</v>
      </c>
      <c r="B131" s="132">
        <f>'RREO-Anexo 09'!C31</f>
        <v>0</v>
      </c>
      <c r="C131" s="133">
        <f>'RREO-Anexo 09'!D31</f>
        <v>0</v>
      </c>
      <c r="D131" s="469"/>
      <c r="E131" s="469"/>
      <c r="F131" s="469"/>
    </row>
    <row r="132" spans="1:7" ht="11.25" customHeight="1">
      <c r="A132" s="382"/>
      <c r="B132" s="343"/>
      <c r="C132" s="343"/>
      <c r="D132" s="343"/>
      <c r="E132" s="343"/>
      <c r="F132" s="343"/>
      <c r="G132" s="382"/>
    </row>
    <row r="133" spans="1:7" ht="11.25" customHeight="1" hidden="1">
      <c r="A133" s="382"/>
      <c r="B133" s="343"/>
      <c r="C133" s="343"/>
      <c r="D133" s="343"/>
      <c r="E133" s="343"/>
      <c r="F133" s="343"/>
      <c r="G133" s="382"/>
    </row>
    <row r="134" spans="1:7" ht="11.25" customHeight="1" hidden="1">
      <c r="A134" s="382"/>
      <c r="B134" s="343"/>
      <c r="C134" s="343"/>
      <c r="D134" s="343"/>
      <c r="E134" s="343"/>
      <c r="F134" s="343"/>
      <c r="G134" s="382"/>
    </row>
    <row r="135" spans="1:7" ht="11.25" customHeight="1" hidden="1">
      <c r="A135" s="382"/>
      <c r="B135" s="343"/>
      <c r="C135" s="343"/>
      <c r="D135" s="343"/>
      <c r="E135" s="343"/>
      <c r="F135" s="343"/>
      <c r="G135" s="382"/>
    </row>
    <row r="136" spans="1:7" ht="11.25" customHeight="1" hidden="1">
      <c r="A136" s="382"/>
      <c r="B136" s="343"/>
      <c r="C136" s="343"/>
      <c r="D136" s="343"/>
      <c r="E136" s="343"/>
      <c r="F136" s="343"/>
      <c r="G136" s="382"/>
    </row>
    <row r="137" spans="1:7" ht="11.25" customHeight="1" hidden="1">
      <c r="A137" s="382"/>
      <c r="B137" s="343"/>
      <c r="C137" s="343"/>
      <c r="D137" s="343"/>
      <c r="E137" s="343"/>
      <c r="F137" s="343"/>
      <c r="G137" s="382"/>
    </row>
    <row r="138" spans="1:7" ht="11.25" customHeight="1" hidden="1">
      <c r="A138" s="382"/>
      <c r="B138" s="343"/>
      <c r="C138" s="343"/>
      <c r="D138" s="343"/>
      <c r="E138" s="343"/>
      <c r="F138" s="343"/>
      <c r="G138" s="382"/>
    </row>
    <row r="139" spans="1:7" ht="11.25" customHeight="1">
      <c r="A139" s="382"/>
      <c r="B139" s="343"/>
      <c r="C139" s="343"/>
      <c r="D139" s="343"/>
      <c r="E139" s="343"/>
      <c r="F139" s="343"/>
      <c r="G139" s="382"/>
    </row>
    <row r="140" spans="1:7" ht="11.25" customHeight="1">
      <c r="A140" s="382"/>
      <c r="B140" s="343"/>
      <c r="C140" s="343"/>
      <c r="D140" s="343"/>
      <c r="E140" s="343"/>
      <c r="F140" s="343"/>
      <c r="G140" s="382"/>
    </row>
    <row r="141" spans="1:6" s="466" customFormat="1" ht="21.75" customHeight="1">
      <c r="A141" s="672" t="s">
        <v>298</v>
      </c>
      <c r="B141" s="705" t="s">
        <v>299</v>
      </c>
      <c r="C141" s="705" t="s">
        <v>300</v>
      </c>
      <c r="D141" s="705" t="s">
        <v>301</v>
      </c>
      <c r="E141" s="705" t="s">
        <v>302</v>
      </c>
      <c r="F141" s="465"/>
    </row>
    <row r="142" spans="1:6" ht="11.25" customHeight="1">
      <c r="A142" s="490" t="s">
        <v>930</v>
      </c>
      <c r="B142" s="119"/>
      <c r="C142" s="119"/>
      <c r="D142" s="119"/>
      <c r="E142" s="119"/>
      <c r="F142" s="469"/>
    </row>
    <row r="143" spans="1:6" ht="11.25" customHeight="1">
      <c r="A143" s="490" t="s">
        <v>928</v>
      </c>
      <c r="B143" s="118">
        <f>'RREO-Anexo 10'!B22</f>
        <v>0</v>
      </c>
      <c r="C143" s="118">
        <f>'RREO-Anexo 10'!B31</f>
        <v>0</v>
      </c>
      <c r="D143" s="118">
        <f>'RREO-Anexo 10'!B41</f>
        <v>0</v>
      </c>
      <c r="E143" s="118">
        <f>'RREO-Anexo 10'!B56</f>
        <v>0</v>
      </c>
      <c r="F143" s="469"/>
    </row>
    <row r="144" spans="1:6" ht="11.25" customHeight="1">
      <c r="A144" s="490" t="s">
        <v>929</v>
      </c>
      <c r="B144" s="118">
        <f>'RREO-Anexo 10'!C22</f>
        <v>0</v>
      </c>
      <c r="C144" s="118">
        <f>'RREO-Anexo 10'!C31</f>
        <v>0</v>
      </c>
      <c r="D144" s="118">
        <f>'RREO-Anexo 10'!C41</f>
        <v>0</v>
      </c>
      <c r="E144" s="118">
        <f>'RREO-Anexo 10'!C56</f>
        <v>0</v>
      </c>
      <c r="F144" s="469"/>
    </row>
    <row r="145" spans="1:6" ht="11.25" customHeight="1">
      <c r="A145" s="490" t="s">
        <v>850</v>
      </c>
      <c r="B145" s="118">
        <f>'RREO-Anexo 10'!D22</f>
        <v>0</v>
      </c>
      <c r="C145" s="118">
        <f>'RREO-Anexo 10'!D31</f>
        <v>0</v>
      </c>
      <c r="D145" s="118">
        <f>'RREO-Anexo 10'!D41</f>
        <v>0</v>
      </c>
      <c r="E145" s="118">
        <f>'RREO-Anexo 10'!D56</f>
        <v>0</v>
      </c>
      <c r="F145" s="469"/>
    </row>
    <row r="146" spans="1:6" ht="11.25" customHeight="1">
      <c r="A146" s="490" t="s">
        <v>931</v>
      </c>
      <c r="B146" s="118"/>
      <c r="C146" s="118"/>
      <c r="D146" s="118"/>
      <c r="E146" s="118"/>
      <c r="F146" s="469"/>
    </row>
    <row r="147" spans="1:6" ht="11.25" customHeight="1">
      <c r="A147" s="490" t="s">
        <v>928</v>
      </c>
      <c r="B147" s="118">
        <f>'RREO-Anexo 10'!B113</f>
        <v>0</v>
      </c>
      <c r="C147" s="118">
        <f>'RREO-Anexo 10'!B122</f>
        <v>0</v>
      </c>
      <c r="D147" s="118">
        <f>'RREO-Anexo 10'!B132</f>
        <v>0</v>
      </c>
      <c r="E147" s="118">
        <f>'RREO-Anexo 10'!B147</f>
        <v>0</v>
      </c>
      <c r="F147" s="469"/>
    </row>
    <row r="148" spans="1:6" ht="11.25" customHeight="1">
      <c r="A148" s="490" t="s">
        <v>929</v>
      </c>
      <c r="B148" s="118">
        <f>'RREO-Anexo 10'!C113</f>
        <v>0</v>
      </c>
      <c r="C148" s="118">
        <f>'RREO-Anexo 10'!C122</f>
        <v>0</v>
      </c>
      <c r="D148" s="118">
        <f>'RREO-Anexo 10'!C132</f>
        <v>0</v>
      </c>
      <c r="E148" s="118">
        <f>'RREO-Anexo 10'!C147</f>
        <v>0</v>
      </c>
      <c r="F148" s="469"/>
    </row>
    <row r="149" spans="1:6" ht="11.25" customHeight="1">
      <c r="A149" s="479" t="s">
        <v>850</v>
      </c>
      <c r="B149" s="133">
        <f>'RREO-Anexo 10'!D113</f>
        <v>0</v>
      </c>
      <c r="C149" s="133">
        <f>'RREO-Anexo 10'!D122</f>
        <v>0</v>
      </c>
      <c r="D149" s="133">
        <f>'RREO-Anexo 10'!D132</f>
        <v>0</v>
      </c>
      <c r="E149" s="133">
        <f>'RREO-Anexo 10'!D147</f>
        <v>0</v>
      </c>
      <c r="F149" s="469"/>
    </row>
    <row r="150" spans="1:6" ht="11.25" customHeight="1">
      <c r="A150" s="382"/>
      <c r="B150" s="343"/>
      <c r="C150" s="343"/>
      <c r="D150" s="343"/>
      <c r="E150" s="343"/>
      <c r="F150" s="343"/>
    </row>
    <row r="151" spans="1:6" ht="11.25" customHeight="1" hidden="1">
      <c r="A151" s="382"/>
      <c r="B151" s="343"/>
      <c r="C151" s="343"/>
      <c r="D151" s="343"/>
      <c r="E151" s="343"/>
      <c r="F151" s="343"/>
    </row>
    <row r="152" spans="1:6" ht="11.25" customHeight="1" hidden="1">
      <c r="A152" s="382"/>
      <c r="B152" s="343"/>
      <c r="C152" s="343"/>
      <c r="D152" s="343"/>
      <c r="E152" s="343"/>
      <c r="F152" s="343"/>
    </row>
    <row r="153" spans="1:6" ht="11.25" customHeight="1" hidden="1">
      <c r="A153" s="382"/>
      <c r="B153" s="343"/>
      <c r="C153" s="343"/>
      <c r="D153" s="343"/>
      <c r="E153" s="343"/>
      <c r="F153" s="343"/>
    </row>
    <row r="154" spans="1:6" ht="11.25" customHeight="1" hidden="1">
      <c r="A154" s="382"/>
      <c r="B154" s="343"/>
      <c r="C154" s="343"/>
      <c r="D154" s="343"/>
      <c r="E154" s="343"/>
      <c r="F154" s="343"/>
    </row>
    <row r="155" spans="1:6" ht="11.25" customHeight="1" hidden="1">
      <c r="A155" s="382"/>
      <c r="B155" s="343"/>
      <c r="C155" s="343"/>
      <c r="D155" s="343"/>
      <c r="E155" s="343"/>
      <c r="F155" s="343"/>
    </row>
    <row r="156" spans="1:6" ht="11.25" customHeight="1" hidden="1">
      <c r="A156" s="382"/>
      <c r="B156" s="343"/>
      <c r="C156" s="343"/>
      <c r="D156" s="343"/>
      <c r="E156" s="343"/>
      <c r="F156" s="343"/>
    </row>
    <row r="157" spans="1:6" s="466" customFormat="1" ht="21" customHeight="1">
      <c r="A157" s="672" t="s">
        <v>303</v>
      </c>
      <c r="B157" s="675" t="s">
        <v>294</v>
      </c>
      <c r="C157" s="705" t="s">
        <v>295</v>
      </c>
      <c r="D157" s="465"/>
      <c r="E157" s="465"/>
      <c r="F157" s="465"/>
    </row>
    <row r="158" spans="1:6" ht="11.25" customHeight="1">
      <c r="A158" s="490" t="s">
        <v>304</v>
      </c>
      <c r="B158" s="117">
        <f>'RREO-Anexo 11'!C20</f>
        <v>0</v>
      </c>
      <c r="C158" s="119">
        <f>'RREO-Anexo 11'!D20</f>
        <v>0</v>
      </c>
      <c r="D158" s="469"/>
      <c r="E158" s="469"/>
      <c r="F158" s="469"/>
    </row>
    <row r="159" spans="1:6" ht="11.25" customHeight="1">
      <c r="A159" s="479" t="s">
        <v>305</v>
      </c>
      <c r="B159" s="132">
        <f>'RREO-Anexo 11'!C29</f>
        <v>0</v>
      </c>
      <c r="C159" s="133">
        <f>'RREO-Anexo 11'!H29</f>
        <v>0</v>
      </c>
      <c r="D159" s="469"/>
      <c r="E159" s="469"/>
      <c r="F159" s="469"/>
    </row>
    <row r="160" spans="1:6" ht="11.25" customHeight="1">
      <c r="A160" s="382"/>
      <c r="B160" s="343"/>
      <c r="C160" s="343"/>
      <c r="D160" s="343"/>
      <c r="E160" s="343"/>
      <c r="F160" s="343"/>
    </row>
    <row r="161" spans="1:6" ht="11.25" customHeight="1" hidden="1">
      <c r="A161" s="382"/>
      <c r="B161" s="343"/>
      <c r="C161" s="343"/>
      <c r="D161" s="343"/>
      <c r="E161" s="343"/>
      <c r="F161" s="343"/>
    </row>
    <row r="162" spans="1:6" ht="11.25" customHeight="1" hidden="1">
      <c r="A162" s="382"/>
      <c r="B162" s="343"/>
      <c r="C162" s="343"/>
      <c r="D162" s="343"/>
      <c r="E162" s="343"/>
      <c r="F162" s="343"/>
    </row>
    <row r="163" spans="1:6" ht="11.25" customHeight="1" hidden="1">
      <c r="A163" s="382"/>
      <c r="B163" s="343"/>
      <c r="C163" s="343"/>
      <c r="D163" s="343"/>
      <c r="E163" s="343"/>
      <c r="F163" s="343"/>
    </row>
    <row r="164" spans="1:6" ht="11.25" customHeight="1" hidden="1">
      <c r="A164" s="382"/>
      <c r="B164" s="343"/>
      <c r="C164" s="343"/>
      <c r="D164" s="343"/>
      <c r="E164" s="343"/>
      <c r="F164" s="343"/>
    </row>
    <row r="165" spans="1:6" ht="11.25" customHeight="1" hidden="1">
      <c r="A165" s="382"/>
      <c r="B165" s="343"/>
      <c r="C165" s="343"/>
      <c r="D165" s="343"/>
      <c r="E165" s="343"/>
      <c r="F165" s="469"/>
    </row>
    <row r="166" spans="1:6" ht="11.25" customHeight="1">
      <c r="A166" s="659"/>
      <c r="B166" s="706" t="s">
        <v>306</v>
      </c>
      <c r="C166" s="707" t="s">
        <v>307</v>
      </c>
      <c r="D166" s="708"/>
      <c r="E166" s="469"/>
      <c r="F166" s="469"/>
    </row>
    <row r="167" spans="1:6" ht="11.25" customHeight="1">
      <c r="A167" s="663" t="s">
        <v>207</v>
      </c>
      <c r="B167" s="435" t="s">
        <v>78</v>
      </c>
      <c r="C167" s="709" t="s">
        <v>247</v>
      </c>
      <c r="D167" s="710" t="s">
        <v>816</v>
      </c>
      <c r="E167" s="469"/>
      <c r="F167" s="469"/>
    </row>
    <row r="168" spans="1:6" ht="11.25" customHeight="1">
      <c r="A168" s="669"/>
      <c r="B168" s="711"/>
      <c r="C168" s="712" t="s">
        <v>292</v>
      </c>
      <c r="D168" s="712" t="str">
        <f>IF(_xlfn.IFERROR(FIND("TRIMESTRE",A13,1),0)&gt;0,"Até o Trimestre",IF(_xlfn.IFERROR(FIND("BIMESTRE",A13,1),0)&gt;0,"Até o Bimestre","Até o Mês"))</f>
        <v>Até o Mês</v>
      </c>
      <c r="E168" s="469"/>
      <c r="F168" s="469"/>
    </row>
    <row r="169" spans="1:6" ht="11.25" customHeight="1">
      <c r="A169" s="489" t="s">
        <v>475</v>
      </c>
      <c r="B169" s="492">
        <f>'RREO-Anexo 12'!B76</f>
        <v>70128594.47</v>
      </c>
      <c r="C169" s="129">
        <v>15</v>
      </c>
      <c r="D169" s="129">
        <f>'RREO-Anexo 12'!B81</f>
        <v>47.917473906602865</v>
      </c>
      <c r="E169" s="469"/>
      <c r="F169" s="469"/>
    </row>
    <row r="170" spans="1:6" ht="11.25" customHeight="1">
      <c r="A170" s="382"/>
      <c r="B170" s="343"/>
      <c r="C170" s="343"/>
      <c r="D170" s="343"/>
      <c r="E170" s="343"/>
      <c r="F170" s="343"/>
    </row>
    <row r="171" spans="1:6" ht="11.25" customHeight="1" hidden="1">
      <c r="A171" s="382"/>
      <c r="B171" s="343"/>
      <c r="C171" s="343"/>
      <c r="D171" s="343"/>
      <c r="E171" s="343"/>
      <c r="F171" s="343"/>
    </row>
    <row r="172" spans="1:6" ht="11.25" customHeight="1" hidden="1">
      <c r="A172" s="382"/>
      <c r="B172" s="343"/>
      <c r="C172" s="343"/>
      <c r="D172" s="343"/>
      <c r="E172" s="343"/>
      <c r="F172" s="343"/>
    </row>
    <row r="173" spans="1:6" ht="11.25" customHeight="1" hidden="1">
      <c r="A173" s="382"/>
      <c r="B173" s="343"/>
      <c r="C173" s="343"/>
      <c r="D173" s="343"/>
      <c r="E173" s="343"/>
      <c r="F173" s="343"/>
    </row>
    <row r="174" spans="1:6" ht="11.25" customHeight="1" hidden="1">
      <c r="A174" s="382"/>
      <c r="B174" s="343"/>
      <c r="C174" s="343"/>
      <c r="D174" s="343"/>
      <c r="E174" s="343"/>
      <c r="F174" s="343"/>
    </row>
    <row r="175" spans="1:6" ht="11.25" customHeight="1" hidden="1">
      <c r="A175" s="382"/>
      <c r="B175" s="343"/>
      <c r="C175" s="343"/>
      <c r="D175" s="343"/>
      <c r="E175" s="343"/>
      <c r="F175" s="343"/>
    </row>
    <row r="176" spans="1:6" ht="11.25" customHeight="1" hidden="1">
      <c r="A176" s="382"/>
      <c r="B176" s="343"/>
      <c r="C176" s="343"/>
      <c r="D176" s="343"/>
      <c r="E176" s="343"/>
      <c r="F176" s="343"/>
    </row>
    <row r="177" spans="1:6" s="466" customFormat="1" ht="21.75" customHeight="1">
      <c r="A177" s="704" t="s">
        <v>54</v>
      </c>
      <c r="B177" s="705" t="s">
        <v>53</v>
      </c>
      <c r="C177" s="465"/>
      <c r="D177" s="465"/>
      <c r="E177" s="465"/>
      <c r="F177" s="465"/>
    </row>
    <row r="178" spans="1:6" ht="11.25" customHeight="1">
      <c r="A178" s="493" t="s">
        <v>927</v>
      </c>
      <c r="B178" s="129">
        <f>'RREO-Anexo 13'!B74</f>
        <v>0</v>
      </c>
      <c r="C178" s="469"/>
      <c r="D178" s="469"/>
      <c r="E178" s="469"/>
      <c r="F178" s="469"/>
    </row>
    <row r="179" spans="1:21" ht="12.75">
      <c r="A179" s="908" t="s">
        <v>1072</v>
      </c>
      <c r="B179" s="909"/>
      <c r="C179" s="909"/>
      <c r="D179" s="909"/>
      <c r="E179" s="909"/>
      <c r="F179" s="494"/>
      <c r="G179" s="494"/>
      <c r="H179" s="494"/>
      <c r="I179" s="494"/>
      <c r="J179" s="494"/>
      <c r="K179" s="494"/>
      <c r="L179" s="494"/>
      <c r="M179" s="494"/>
      <c r="N179" s="494"/>
      <c r="O179" s="494"/>
      <c r="P179" s="494"/>
      <c r="Q179" s="494"/>
      <c r="R179" s="494"/>
      <c r="S179" s="494"/>
      <c r="T179" s="494"/>
      <c r="U179" s="494"/>
    </row>
    <row r="180" ht="11.25" customHeight="1">
      <c r="A180" s="382"/>
    </row>
    <row r="185" spans="1:3" s="516" customFormat="1" ht="11.25" customHeight="1">
      <c r="A185" s="518" t="s">
        <v>1055</v>
      </c>
      <c r="B185" s="519" t="s">
        <v>1057</v>
      </c>
      <c r="C185" s="701"/>
    </row>
    <row r="186" spans="1:3" s="516" customFormat="1" ht="11.25" customHeight="1">
      <c r="A186" s="518" t="s">
        <v>1056</v>
      </c>
      <c r="B186" s="519" t="s">
        <v>1058</v>
      </c>
      <c r="C186" s="701"/>
    </row>
    <row r="187" spans="1:3" s="516" customFormat="1" ht="11.25" customHeight="1">
      <c r="A187" s="522"/>
      <c r="B187" s="522" t="s">
        <v>1080</v>
      </c>
      <c r="C187" s="701"/>
    </row>
    <row r="188" spans="1:5" s="516" customFormat="1" ht="11.25" customHeight="1">
      <c r="A188" s="701"/>
      <c r="B188" s="701"/>
      <c r="C188" s="702"/>
      <c r="D188" s="892"/>
      <c r="E188" s="892"/>
    </row>
    <row r="189" spans="1:3" s="516" customFormat="1" ht="11.25" customHeight="1">
      <c r="A189" s="519" t="s">
        <v>1059</v>
      </c>
      <c r="B189" s="519"/>
      <c r="C189" s="702"/>
    </row>
    <row r="190" spans="1:3" s="516" customFormat="1" ht="11.25" customHeight="1">
      <c r="A190" s="703" t="s">
        <v>1060</v>
      </c>
      <c r="B190" s="703"/>
      <c r="C190" s="702"/>
    </row>
    <row r="191" spans="1:3" s="516" customFormat="1" ht="11.25" customHeight="1">
      <c r="A191" s="522" t="s">
        <v>1074</v>
      </c>
      <c r="B191" s="522"/>
      <c r="C191" s="702"/>
    </row>
  </sheetData>
  <sheetProtection/>
  <mergeCells count="6">
    <mergeCell ref="D188:E188"/>
    <mergeCell ref="A14:E14"/>
    <mergeCell ref="A15:E15"/>
    <mergeCell ref="A11:E11"/>
    <mergeCell ref="A179:E179"/>
    <mergeCell ref="A94:A9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1"/>
  <sheetViews>
    <sheetView showGridLines="0" zoomScalePageLayoutView="0" workbookViewId="0" topLeftCell="A1">
      <selection activeCell="A1" sqref="A1"/>
    </sheetView>
  </sheetViews>
  <sheetFormatPr defaultColWidth="7.8515625" defaultRowHeight="11.25" customHeight="1"/>
  <cols>
    <col min="1" max="1" width="46.7109375" style="171" customWidth="1"/>
    <col min="2" max="3" width="14.28125" style="171" bestFit="1" customWidth="1"/>
    <col min="4" max="10" width="13.421875" style="171" customWidth="1"/>
    <col min="11" max="11" width="14.28125" style="171" bestFit="1" customWidth="1"/>
    <col min="12" max="12" width="14.28125" style="171" customWidth="1"/>
    <col min="13" max="16384" width="7.8515625" style="171" customWidth="1"/>
  </cols>
  <sheetData>
    <row r="1" ht="12.75"/>
    <row r="2" ht="25.5" customHeight="1">
      <c r="A2" s="498" t="s">
        <v>1050</v>
      </c>
    </row>
    <row r="3" ht="15.75" customHeight="1">
      <c r="A3" s="499" t="s">
        <v>1051</v>
      </c>
    </row>
    <row r="4" ht="15.75" customHeight="1">
      <c r="A4" s="499" t="s">
        <v>1052</v>
      </c>
    </row>
    <row r="5" ht="15.75" customHeight="1">
      <c r="A5" s="499" t="s">
        <v>1053</v>
      </c>
    </row>
    <row r="6" ht="15.75">
      <c r="A6" s="104" t="s">
        <v>83</v>
      </c>
    </row>
    <row r="7" ht="12.75">
      <c r="A7" s="105"/>
    </row>
    <row r="8" spans="1:12" ht="12.75">
      <c r="A8" s="484" t="s">
        <v>1050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12.75">
      <c r="A9" s="106" t="s">
        <v>68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2.75">
      <c r="A10" s="107" t="s">
        <v>113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2.75">
      <c r="A11" s="745" t="s">
        <v>70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2" ht="12.75">
      <c r="A13" s="333" t="s">
        <v>1054</v>
      </c>
      <c r="B13" s="172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2.75" hidden="1">
      <c r="A14" s="745"/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</row>
    <row r="15" spans="1:12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2.75">
      <c r="A16" s="103" t="s">
        <v>332</v>
      </c>
      <c r="B16" s="173"/>
      <c r="L16" s="111" t="s">
        <v>360</v>
      </c>
    </row>
    <row r="17" spans="1:12" ht="18" customHeight="1">
      <c r="A17" s="536"/>
      <c r="B17" s="546" t="s">
        <v>103</v>
      </c>
      <c r="C17" s="546" t="s">
        <v>103</v>
      </c>
      <c r="D17" s="749" t="s">
        <v>104</v>
      </c>
      <c r="E17" s="750"/>
      <c r="F17" s="751"/>
      <c r="G17" s="547" t="s">
        <v>107</v>
      </c>
      <c r="H17" s="746" t="s">
        <v>105</v>
      </c>
      <c r="I17" s="747"/>
      <c r="J17" s="748"/>
      <c r="K17" s="547" t="s">
        <v>107</v>
      </c>
      <c r="L17" s="753" t="s">
        <v>815</v>
      </c>
    </row>
    <row r="18" spans="1:12" ht="17.25" customHeight="1">
      <c r="A18" s="549" t="s">
        <v>114</v>
      </c>
      <c r="B18" s="550" t="s">
        <v>74</v>
      </c>
      <c r="C18" s="550" t="s">
        <v>75</v>
      </c>
      <c r="D18" s="546" t="str">
        <f>CONCATENATE("No ",B13)</f>
        <v>No Bimestre</v>
      </c>
      <c r="E18" s="546" t="str">
        <f>CONCATENATE("Até o  ",B13)</f>
        <v>Até o  Bimestre</v>
      </c>
      <c r="F18" s="546" t="s">
        <v>77</v>
      </c>
      <c r="G18" s="529"/>
      <c r="H18" s="546" t="str">
        <f>CONCATENATE("No ",B13)</f>
        <v>No Bimestre</v>
      </c>
      <c r="I18" s="546" t="str">
        <f>CONCATENATE("Até o  ",B13)</f>
        <v>Até o  Bimestre</v>
      </c>
      <c r="J18" s="546" t="s">
        <v>77</v>
      </c>
      <c r="K18" s="529"/>
      <c r="L18" s="754"/>
    </row>
    <row r="19" spans="1:12" s="109" customFormat="1" ht="18" customHeight="1">
      <c r="A19" s="540"/>
      <c r="B19" s="551"/>
      <c r="C19" s="534" t="s">
        <v>79</v>
      </c>
      <c r="D19" s="534"/>
      <c r="E19" s="534" t="s">
        <v>80</v>
      </c>
      <c r="F19" s="534" t="s">
        <v>36</v>
      </c>
      <c r="G19" s="542" t="s">
        <v>257</v>
      </c>
      <c r="H19" s="534"/>
      <c r="I19" s="534" t="s">
        <v>108</v>
      </c>
      <c r="J19" s="534" t="s">
        <v>590</v>
      </c>
      <c r="K19" s="542" t="s">
        <v>589</v>
      </c>
      <c r="L19" s="755"/>
    </row>
    <row r="20" spans="1:12" s="109" customFormat="1" ht="12.75">
      <c r="A20" s="131" t="s">
        <v>166</v>
      </c>
      <c r="B20" s="118">
        <f>B21+B26+B31+B36+B49+B55+B61+B66+B73+B80+B89+B96+B107+B112+B118+B124+B129+B134+B142+B148+B156+B161+B169+B177+B182+B189+B197+B203+B212</f>
        <v>1097874900</v>
      </c>
      <c r="C20" s="118">
        <f>C21+C26+C31+C36+C49+C55+C61+C66+C73+C80+C89+C96+C107+C112+C118+C124+C129+C134+C142+C148+C156+C161+C169+C177+C182+C189+C197+C203+C212</f>
        <v>1146625865.3</v>
      </c>
      <c r="D20" s="118">
        <f>D21+D26+D31+D36+D49+D55+D61+D66+D73+D80+D89+D96+D107+D112+D118+D124+D129+D134+D142+D148+D156+D161+D169+D177+D182+D189+D197+D203+D212</f>
        <v>448247663.8</v>
      </c>
      <c r="E20" s="118">
        <f>E21+E26+E31+E36+E49+E55+E61+E66+E73+E80+E89+E96+E107+E112+E118+E124+E129+E134+E142+E148+E156+E161+E169+E177+E182+E189+E197+E203+E212</f>
        <v>448247663.8</v>
      </c>
      <c r="F20" s="118">
        <f aca="true" t="shared" si="0" ref="F20:F51">IF($E$214&gt;0,E20/$E$214,0)*100</f>
        <v>96.48463732763528</v>
      </c>
      <c r="G20" s="118">
        <f>G21+G26+G31+G36+G49+G55+G61+G66+G73+G80+G89+G96+G107+G112+G118+G124+G129+G134+G142+G148+G156+G161+G169+G177+G182+G189+G197+G203+G212</f>
        <v>698378201.4999999</v>
      </c>
      <c r="H20" s="118">
        <f>H21+H26+H31+H36+H49+H55+H61+H66+H73+H80+H89+H96+H107+H112+H118+H124+H129+H134+H142+H148+H156+H161+H169+H177+H182+H189+H197+H203+H212</f>
        <v>134975186.64000005</v>
      </c>
      <c r="I20" s="118">
        <f>I21+I26+I31+I36+I49+I55+I61+I66+I73+I80+I89+I96+I107+I112+I118+I124+I129+I134+I142+I148+I156+I161+I169+I177+I182+I189+I197+I203+I212</f>
        <v>134975186.64000005</v>
      </c>
      <c r="J20" s="116">
        <f aca="true" t="shared" si="1" ref="J20:J51">IF($I$214&gt;0,I20/$I$214,0)*100</f>
        <v>90.35966192947436</v>
      </c>
      <c r="K20" s="116">
        <f>K21+K26+K31+K36+K49+K55+K61+K66+K73+K80+K89+K96+K107+K112+K118+K124+K129+K134+K142+K148+K156+K161+K169+K177+K182+K189+K197+K203+K212</f>
        <v>1011650678.66</v>
      </c>
      <c r="L20" s="119">
        <f>L21+L26+L31+L36+L49+L55+L61+L66+L73+L80+L89+L96+L107+L112+L118+L124+L129+L134+L142+L148+L156+L161+L169+L177+L182+L189+L197+L203+L212</f>
        <v>0</v>
      </c>
    </row>
    <row r="21" spans="1:12" s="109" customFormat="1" ht="12.75">
      <c r="A21" s="174" t="s">
        <v>248</v>
      </c>
      <c r="B21" s="118">
        <f>SUM(B22:B25)</f>
        <v>14515000</v>
      </c>
      <c r="C21" s="118">
        <f>SUM(C22:C25)</f>
        <v>14515000</v>
      </c>
      <c r="D21" s="118">
        <f>SUM(D22:D25)</f>
        <v>1994143.05</v>
      </c>
      <c r="E21" s="118">
        <f>SUM(E22:E25)</f>
        <v>1994143.05</v>
      </c>
      <c r="F21" s="118">
        <f t="shared" si="0"/>
        <v>0.42923630059234785</v>
      </c>
      <c r="G21" s="118">
        <f>SUM(G22:G25)</f>
        <v>12520856.95</v>
      </c>
      <c r="H21" s="118">
        <f>SUM(H22:H25)</f>
        <v>1476154.92</v>
      </c>
      <c r="I21" s="118">
        <f>SUM(I22:I25)</f>
        <v>1476154.92</v>
      </c>
      <c r="J21" s="116">
        <f t="shared" si="1"/>
        <v>0.9882176335305878</v>
      </c>
      <c r="K21" s="116">
        <f>SUM(K22:K25)</f>
        <v>13038845.08</v>
      </c>
      <c r="L21" s="118">
        <f>SUM(L22:L25)</f>
        <v>0</v>
      </c>
    </row>
    <row r="22" spans="1:12" ht="12.75">
      <c r="A22" s="175" t="s">
        <v>361</v>
      </c>
      <c r="B22" s="149">
        <v>14515000</v>
      </c>
      <c r="C22" s="118">
        <v>14515000</v>
      </c>
      <c r="D22" s="118">
        <v>1994143.05</v>
      </c>
      <c r="E22" s="118">
        <v>1994143.05</v>
      </c>
      <c r="F22" s="118">
        <f t="shared" si="0"/>
        <v>0.42923630059234785</v>
      </c>
      <c r="G22" s="118">
        <f>C22-E22</f>
        <v>12520856.95</v>
      </c>
      <c r="H22" s="118">
        <v>1476154.92</v>
      </c>
      <c r="I22" s="118">
        <v>1476154.92</v>
      </c>
      <c r="J22" s="116">
        <f t="shared" si="1"/>
        <v>0.9882176335305878</v>
      </c>
      <c r="K22" s="116">
        <f>C22-I22</f>
        <v>13038845.08</v>
      </c>
      <c r="L22" s="118"/>
    </row>
    <row r="23" spans="1:12" ht="12.75">
      <c r="A23" s="175" t="s">
        <v>362</v>
      </c>
      <c r="B23" s="149"/>
      <c r="C23" s="118"/>
      <c r="D23" s="118"/>
      <c r="E23" s="118"/>
      <c r="F23" s="118">
        <f t="shared" si="0"/>
        <v>0</v>
      </c>
      <c r="G23" s="118">
        <f>C23-E23</f>
        <v>0</v>
      </c>
      <c r="H23" s="118"/>
      <c r="I23" s="118"/>
      <c r="J23" s="116">
        <f t="shared" si="1"/>
        <v>0</v>
      </c>
      <c r="K23" s="116">
        <f>C23-I23</f>
        <v>0</v>
      </c>
      <c r="L23" s="118"/>
    </row>
    <row r="24" spans="1:12" ht="12.75">
      <c r="A24" s="175" t="s">
        <v>369</v>
      </c>
      <c r="B24" s="149"/>
      <c r="C24" s="118"/>
      <c r="D24" s="118"/>
      <c r="E24" s="118"/>
      <c r="F24" s="118">
        <f t="shared" si="0"/>
        <v>0</v>
      </c>
      <c r="G24" s="118">
        <f>C24-E24</f>
        <v>0</v>
      </c>
      <c r="H24" s="118"/>
      <c r="I24" s="118"/>
      <c r="J24" s="116">
        <f t="shared" si="1"/>
        <v>0</v>
      </c>
      <c r="K24" s="116">
        <f>C24-I24</f>
        <v>0</v>
      </c>
      <c r="L24" s="118"/>
    </row>
    <row r="25" spans="1:12" ht="12.75">
      <c r="A25" s="175" t="s">
        <v>363</v>
      </c>
      <c r="B25" s="149"/>
      <c r="C25" s="118"/>
      <c r="D25" s="118"/>
      <c r="E25" s="118"/>
      <c r="F25" s="118">
        <f t="shared" si="0"/>
        <v>0</v>
      </c>
      <c r="G25" s="118">
        <f>C25-E25</f>
        <v>0</v>
      </c>
      <c r="H25" s="118"/>
      <c r="I25" s="118"/>
      <c r="J25" s="118">
        <f t="shared" si="1"/>
        <v>0</v>
      </c>
      <c r="K25" s="116">
        <f>C25-I25</f>
        <v>0</v>
      </c>
      <c r="L25" s="118"/>
    </row>
    <row r="26" spans="1:12" ht="12.75">
      <c r="A26" s="174" t="s">
        <v>249</v>
      </c>
      <c r="B26" s="118">
        <f>SUM(B27:B30)</f>
        <v>0</v>
      </c>
      <c r="C26" s="118">
        <f>SUM(C27:C30)</f>
        <v>0</v>
      </c>
      <c r="D26" s="118">
        <f>SUM(D27:D30)</f>
        <v>0</v>
      </c>
      <c r="E26" s="118">
        <f>SUM(E27:E30)</f>
        <v>0</v>
      </c>
      <c r="F26" s="118">
        <f t="shared" si="0"/>
        <v>0</v>
      </c>
      <c r="G26" s="118">
        <f>SUM(G27:G30)</f>
        <v>0</v>
      </c>
      <c r="H26" s="118">
        <f>SUM(H27:H30)</f>
        <v>0</v>
      </c>
      <c r="I26" s="118">
        <f>SUM(I27:I30)</f>
        <v>0</v>
      </c>
      <c r="J26" s="118">
        <f t="shared" si="1"/>
        <v>0</v>
      </c>
      <c r="K26" s="116">
        <f>SUM(K27:K30)</f>
        <v>0</v>
      </c>
      <c r="L26" s="118">
        <f>SUM(L27:L30)</f>
        <v>0</v>
      </c>
    </row>
    <row r="27" spans="1:12" ht="12.75">
      <c r="A27" s="175" t="s">
        <v>364</v>
      </c>
      <c r="B27" s="118"/>
      <c r="C27" s="118"/>
      <c r="D27" s="118"/>
      <c r="E27" s="118"/>
      <c r="F27" s="118">
        <f t="shared" si="0"/>
        <v>0</v>
      </c>
      <c r="G27" s="118">
        <f>C27-E27</f>
        <v>0</v>
      </c>
      <c r="H27" s="118"/>
      <c r="I27" s="118"/>
      <c r="J27" s="118">
        <f t="shared" si="1"/>
        <v>0</v>
      </c>
      <c r="K27" s="116">
        <f>C27-I27</f>
        <v>0</v>
      </c>
      <c r="L27" s="118"/>
    </row>
    <row r="28" spans="1:12" ht="12.75">
      <c r="A28" s="175" t="s">
        <v>365</v>
      </c>
      <c r="B28" s="118"/>
      <c r="C28" s="118"/>
      <c r="D28" s="118"/>
      <c r="E28" s="118"/>
      <c r="F28" s="118">
        <f t="shared" si="0"/>
        <v>0</v>
      </c>
      <c r="G28" s="118">
        <f>C28-E28</f>
        <v>0</v>
      </c>
      <c r="H28" s="118"/>
      <c r="I28" s="118"/>
      <c r="J28" s="118">
        <f t="shared" si="1"/>
        <v>0</v>
      </c>
      <c r="K28" s="116">
        <f>C28-I28</f>
        <v>0</v>
      </c>
      <c r="L28" s="118"/>
    </row>
    <row r="29" spans="1:12" ht="12.75">
      <c r="A29" s="175" t="s">
        <v>369</v>
      </c>
      <c r="B29" s="118"/>
      <c r="C29" s="118"/>
      <c r="D29" s="118"/>
      <c r="E29" s="118"/>
      <c r="F29" s="118">
        <f t="shared" si="0"/>
        <v>0</v>
      </c>
      <c r="G29" s="118">
        <f>C29-E29</f>
        <v>0</v>
      </c>
      <c r="H29" s="118"/>
      <c r="I29" s="118"/>
      <c r="J29" s="118">
        <f t="shared" si="1"/>
        <v>0</v>
      </c>
      <c r="K29" s="116">
        <f>C29-I29</f>
        <v>0</v>
      </c>
      <c r="L29" s="118"/>
    </row>
    <row r="30" spans="1:12" ht="12.75">
      <c r="A30" s="175" t="s">
        <v>363</v>
      </c>
      <c r="B30" s="118"/>
      <c r="C30" s="118"/>
      <c r="D30" s="118"/>
      <c r="E30" s="118"/>
      <c r="F30" s="118">
        <f t="shared" si="0"/>
        <v>0</v>
      </c>
      <c r="G30" s="118">
        <f>C30-E30</f>
        <v>0</v>
      </c>
      <c r="H30" s="118"/>
      <c r="I30" s="118"/>
      <c r="J30" s="118">
        <f t="shared" si="1"/>
        <v>0</v>
      </c>
      <c r="K30" s="116">
        <f>C30-I30</f>
        <v>0</v>
      </c>
      <c r="L30" s="118"/>
    </row>
    <row r="31" spans="1:12" ht="12.75">
      <c r="A31" s="174" t="s">
        <v>250</v>
      </c>
      <c r="B31" s="118">
        <f>SUM(B32:B35)</f>
        <v>0</v>
      </c>
      <c r="C31" s="118">
        <f>SUM(C32:C35)</f>
        <v>0</v>
      </c>
      <c r="D31" s="118">
        <f>SUM(D32:D35)</f>
        <v>0</v>
      </c>
      <c r="E31" s="118">
        <f>SUM(E32:E35)</f>
        <v>0</v>
      </c>
      <c r="F31" s="118">
        <f t="shared" si="0"/>
        <v>0</v>
      </c>
      <c r="G31" s="118">
        <f>SUM(G32:G35)</f>
        <v>0</v>
      </c>
      <c r="H31" s="118">
        <f>SUM(H32:H35)</f>
        <v>0</v>
      </c>
      <c r="I31" s="118">
        <f>SUM(I32:I35)</f>
        <v>0</v>
      </c>
      <c r="J31" s="118">
        <f t="shared" si="1"/>
        <v>0</v>
      </c>
      <c r="K31" s="116">
        <f>SUM(K32:K35)</f>
        <v>0</v>
      </c>
      <c r="L31" s="118">
        <f>SUM(L32:L35)</f>
        <v>0</v>
      </c>
    </row>
    <row r="32" spans="1:12" ht="12.75">
      <c r="A32" s="175" t="s">
        <v>366</v>
      </c>
      <c r="B32" s="118"/>
      <c r="C32" s="118"/>
      <c r="D32" s="118"/>
      <c r="E32" s="118"/>
      <c r="F32" s="118">
        <f t="shared" si="0"/>
        <v>0</v>
      </c>
      <c r="G32" s="118">
        <f>C32-E32</f>
        <v>0</v>
      </c>
      <c r="H32" s="118"/>
      <c r="I32" s="118"/>
      <c r="J32" s="118">
        <f t="shared" si="1"/>
        <v>0</v>
      </c>
      <c r="K32" s="116">
        <f>C32-I32</f>
        <v>0</v>
      </c>
      <c r="L32" s="118"/>
    </row>
    <row r="33" spans="1:12" ht="12.75">
      <c r="A33" s="175" t="s">
        <v>367</v>
      </c>
      <c r="B33" s="118"/>
      <c r="C33" s="118"/>
      <c r="D33" s="118"/>
      <c r="E33" s="118"/>
      <c r="F33" s="118">
        <f t="shared" si="0"/>
        <v>0</v>
      </c>
      <c r="G33" s="118">
        <f>C33-E33</f>
        <v>0</v>
      </c>
      <c r="H33" s="118"/>
      <c r="I33" s="118"/>
      <c r="J33" s="118">
        <f t="shared" si="1"/>
        <v>0</v>
      </c>
      <c r="K33" s="116">
        <f>C33-I33</f>
        <v>0</v>
      </c>
      <c r="L33" s="118"/>
    </row>
    <row r="34" spans="1:12" ht="12.75">
      <c r="A34" s="175" t="s">
        <v>369</v>
      </c>
      <c r="B34" s="118"/>
      <c r="C34" s="118"/>
      <c r="D34" s="118"/>
      <c r="E34" s="118"/>
      <c r="F34" s="118">
        <f t="shared" si="0"/>
        <v>0</v>
      </c>
      <c r="G34" s="118">
        <f>C34-E34</f>
        <v>0</v>
      </c>
      <c r="H34" s="118"/>
      <c r="I34" s="118"/>
      <c r="J34" s="118">
        <f t="shared" si="1"/>
        <v>0</v>
      </c>
      <c r="K34" s="116">
        <f>C34-I34</f>
        <v>0</v>
      </c>
      <c r="L34" s="118"/>
    </row>
    <row r="35" spans="1:12" ht="12.75">
      <c r="A35" s="175" t="s">
        <v>363</v>
      </c>
      <c r="B35" s="118"/>
      <c r="C35" s="118"/>
      <c r="D35" s="118"/>
      <c r="E35" s="118"/>
      <c r="F35" s="118">
        <f t="shared" si="0"/>
        <v>0</v>
      </c>
      <c r="G35" s="118">
        <f>C35-E35</f>
        <v>0</v>
      </c>
      <c r="H35" s="118"/>
      <c r="I35" s="118"/>
      <c r="J35" s="118">
        <f t="shared" si="1"/>
        <v>0</v>
      </c>
      <c r="K35" s="116">
        <f>C35-I35</f>
        <v>0</v>
      </c>
      <c r="L35" s="118"/>
    </row>
    <row r="36" spans="1:12" ht="12.75">
      <c r="A36" s="174" t="s">
        <v>258</v>
      </c>
      <c r="B36" s="118">
        <f>SUM(B37:B48)</f>
        <v>78227000</v>
      </c>
      <c r="C36" s="118">
        <f>SUM(C37:C48)</f>
        <v>83233152.62</v>
      </c>
      <c r="D36" s="118">
        <f>SUM(D37:D48)</f>
        <v>23007347.78</v>
      </c>
      <c r="E36" s="118">
        <f>SUM(E37:E48)</f>
        <v>23007347.78</v>
      </c>
      <c r="F36" s="118">
        <f t="shared" si="0"/>
        <v>4.952297102020222</v>
      </c>
      <c r="G36" s="118">
        <f>SUM(G37:G48)</f>
        <v>60225804.839999996</v>
      </c>
      <c r="H36" s="118">
        <f>SUM(H37:H48)</f>
        <v>8263564.17</v>
      </c>
      <c r="I36" s="118">
        <f>SUM(I37:I48)</f>
        <v>8263564.17</v>
      </c>
      <c r="J36" s="118">
        <f t="shared" si="1"/>
        <v>5.532075067436388</v>
      </c>
      <c r="K36" s="116">
        <f>SUM(K37:K48)</f>
        <v>74969588.45</v>
      </c>
      <c r="L36" s="118">
        <f>SUM(L37:L48)</f>
        <v>0</v>
      </c>
    </row>
    <row r="37" spans="1:12" ht="12.75">
      <c r="A37" s="175" t="s">
        <v>368</v>
      </c>
      <c r="B37" s="118"/>
      <c r="C37" s="118"/>
      <c r="D37" s="118"/>
      <c r="E37" s="118"/>
      <c r="F37" s="118">
        <f t="shared" si="0"/>
        <v>0</v>
      </c>
      <c r="G37" s="118">
        <f aca="true" t="shared" si="2" ref="G37:G48">C37-E37</f>
        <v>0</v>
      </c>
      <c r="H37" s="118"/>
      <c r="I37" s="118"/>
      <c r="J37" s="118">
        <f t="shared" si="1"/>
        <v>0</v>
      </c>
      <c r="K37" s="116">
        <f aca="true" t="shared" si="3" ref="K37:K48">C37-I37</f>
        <v>0</v>
      </c>
      <c r="L37" s="118"/>
    </row>
    <row r="38" spans="1:12" ht="12.75">
      <c r="A38" s="175" t="s">
        <v>369</v>
      </c>
      <c r="B38" s="118">
        <v>51898000</v>
      </c>
      <c r="C38" s="118">
        <v>53208950</v>
      </c>
      <c r="D38" s="118">
        <v>14257335.59</v>
      </c>
      <c r="E38" s="118">
        <v>14257335.59</v>
      </c>
      <c r="F38" s="118">
        <f t="shared" si="0"/>
        <v>3.068870101849122</v>
      </c>
      <c r="G38" s="118">
        <f t="shared" si="2"/>
        <v>38951614.41</v>
      </c>
      <c r="H38" s="118">
        <v>4532098.76</v>
      </c>
      <c r="I38" s="118">
        <v>4532098.76</v>
      </c>
      <c r="J38" s="118">
        <f t="shared" si="1"/>
        <v>3.034031083630512</v>
      </c>
      <c r="K38" s="116">
        <f t="shared" si="3"/>
        <v>48676851.24</v>
      </c>
      <c r="L38" s="118"/>
    </row>
    <row r="39" spans="1:12" ht="12.75">
      <c r="A39" s="175" t="s">
        <v>370</v>
      </c>
      <c r="B39" s="118">
        <v>10560000</v>
      </c>
      <c r="C39" s="118">
        <v>10560000</v>
      </c>
      <c r="D39" s="118">
        <v>3609514.74</v>
      </c>
      <c r="E39" s="118">
        <v>3609514.74</v>
      </c>
      <c r="F39" s="118">
        <f t="shared" si="0"/>
        <v>0.7769426340458124</v>
      </c>
      <c r="G39" s="118">
        <f t="shared" si="2"/>
        <v>6950485.26</v>
      </c>
      <c r="H39" s="118">
        <v>1806087.64</v>
      </c>
      <c r="I39" s="118">
        <v>1806087.64</v>
      </c>
      <c r="J39" s="118">
        <f t="shared" si="1"/>
        <v>1.209092371923703</v>
      </c>
      <c r="K39" s="116">
        <f t="shared" si="3"/>
        <v>8753912.36</v>
      </c>
      <c r="L39" s="118"/>
    </row>
    <row r="40" spans="1:12" ht="12.75">
      <c r="A40" s="175" t="s">
        <v>371</v>
      </c>
      <c r="B40" s="118">
        <v>1167000</v>
      </c>
      <c r="C40" s="118">
        <v>1167000</v>
      </c>
      <c r="D40" s="118">
        <v>168804.67</v>
      </c>
      <c r="E40" s="118">
        <v>168804.67</v>
      </c>
      <c r="F40" s="118">
        <f t="shared" si="0"/>
        <v>0.036334952035417964</v>
      </c>
      <c r="G40" s="118">
        <f t="shared" si="2"/>
        <v>998195.33</v>
      </c>
      <c r="H40" s="118">
        <v>157457.11</v>
      </c>
      <c r="I40" s="118">
        <v>157457.11</v>
      </c>
      <c r="J40" s="118">
        <f t="shared" si="1"/>
        <v>0.10541027267433789</v>
      </c>
      <c r="K40" s="116">
        <f t="shared" si="3"/>
        <v>1009542.89</v>
      </c>
      <c r="L40" s="118"/>
    </row>
    <row r="41" spans="1:12" ht="12.75">
      <c r="A41" s="175" t="s">
        <v>372</v>
      </c>
      <c r="B41" s="118"/>
      <c r="C41" s="118"/>
      <c r="D41" s="118"/>
      <c r="E41" s="118"/>
      <c r="F41" s="118">
        <f t="shared" si="0"/>
        <v>0</v>
      </c>
      <c r="G41" s="118">
        <f t="shared" si="2"/>
        <v>0</v>
      </c>
      <c r="H41" s="118"/>
      <c r="I41" s="118"/>
      <c r="J41" s="118">
        <f t="shared" si="1"/>
        <v>0</v>
      </c>
      <c r="K41" s="116">
        <f t="shared" si="3"/>
        <v>0</v>
      </c>
      <c r="L41" s="118"/>
    </row>
    <row r="42" spans="1:12" ht="12.75">
      <c r="A42" s="175" t="s">
        <v>373</v>
      </c>
      <c r="B42" s="118"/>
      <c r="C42" s="118"/>
      <c r="D42" s="118"/>
      <c r="E42" s="118"/>
      <c r="F42" s="118">
        <f t="shared" si="0"/>
        <v>0</v>
      </c>
      <c r="G42" s="118">
        <f t="shared" si="2"/>
        <v>0</v>
      </c>
      <c r="H42" s="118"/>
      <c r="I42" s="118"/>
      <c r="J42" s="118">
        <f t="shared" si="1"/>
        <v>0</v>
      </c>
      <c r="K42" s="116">
        <f t="shared" si="3"/>
        <v>0</v>
      </c>
      <c r="L42" s="118"/>
    </row>
    <row r="43" spans="1:12" ht="12.75">
      <c r="A43" s="175" t="s">
        <v>374</v>
      </c>
      <c r="B43" s="118">
        <v>5955000</v>
      </c>
      <c r="C43" s="118">
        <v>9600322.62</v>
      </c>
      <c r="D43" s="118">
        <v>1306511.7</v>
      </c>
      <c r="E43" s="118">
        <v>1306511.7</v>
      </c>
      <c r="F43" s="118">
        <f t="shared" si="0"/>
        <v>0.2812246838503483</v>
      </c>
      <c r="G43" s="118">
        <f t="shared" si="2"/>
        <v>8293810.919999999</v>
      </c>
      <c r="H43" s="118">
        <v>816141.8</v>
      </c>
      <c r="I43" s="118">
        <v>816141.8</v>
      </c>
      <c r="J43" s="118">
        <f t="shared" si="1"/>
        <v>0.5463692917958735</v>
      </c>
      <c r="K43" s="116">
        <f t="shared" si="3"/>
        <v>8784180.819999998</v>
      </c>
      <c r="L43" s="118"/>
    </row>
    <row r="44" spans="1:12" ht="12.75">
      <c r="A44" s="175" t="s">
        <v>375</v>
      </c>
      <c r="B44" s="118"/>
      <c r="C44" s="118"/>
      <c r="D44" s="118"/>
      <c r="E44" s="118"/>
      <c r="F44" s="118">
        <f t="shared" si="0"/>
        <v>0</v>
      </c>
      <c r="G44" s="118">
        <f t="shared" si="2"/>
        <v>0</v>
      </c>
      <c r="H44" s="118"/>
      <c r="I44" s="118"/>
      <c r="J44" s="118">
        <f t="shared" si="1"/>
        <v>0</v>
      </c>
      <c r="K44" s="116">
        <f t="shared" si="3"/>
        <v>0</v>
      </c>
      <c r="L44" s="118"/>
    </row>
    <row r="45" spans="1:12" ht="12.75">
      <c r="A45" s="175" t="s">
        <v>376</v>
      </c>
      <c r="B45" s="118"/>
      <c r="C45" s="118"/>
      <c r="D45" s="118"/>
      <c r="E45" s="118"/>
      <c r="F45" s="118">
        <f t="shared" si="0"/>
        <v>0</v>
      </c>
      <c r="G45" s="118">
        <f t="shared" si="2"/>
        <v>0</v>
      </c>
      <c r="H45" s="118"/>
      <c r="I45" s="118"/>
      <c r="J45" s="118">
        <f t="shared" si="1"/>
        <v>0</v>
      </c>
      <c r="K45" s="116">
        <f t="shared" si="3"/>
        <v>0</v>
      </c>
      <c r="L45" s="118"/>
    </row>
    <row r="46" spans="1:12" ht="12.75">
      <c r="A46" s="175" t="s">
        <v>377</v>
      </c>
      <c r="B46" s="118"/>
      <c r="C46" s="118"/>
      <c r="D46" s="118"/>
      <c r="E46" s="118"/>
      <c r="F46" s="118">
        <f t="shared" si="0"/>
        <v>0</v>
      </c>
      <c r="G46" s="118">
        <f t="shared" si="2"/>
        <v>0</v>
      </c>
      <c r="H46" s="118"/>
      <c r="I46" s="118"/>
      <c r="J46" s="118">
        <f t="shared" si="1"/>
        <v>0</v>
      </c>
      <c r="K46" s="116">
        <f t="shared" si="3"/>
        <v>0</v>
      </c>
      <c r="L46" s="118"/>
    </row>
    <row r="47" spans="1:12" ht="12.75">
      <c r="A47" s="175" t="s">
        <v>378</v>
      </c>
      <c r="B47" s="118">
        <v>8647000</v>
      </c>
      <c r="C47" s="118">
        <v>8696880</v>
      </c>
      <c r="D47" s="118">
        <v>3665181.08</v>
      </c>
      <c r="E47" s="118">
        <v>3665181.08</v>
      </c>
      <c r="F47" s="118">
        <f t="shared" si="0"/>
        <v>0.7889247302395211</v>
      </c>
      <c r="G47" s="118">
        <f t="shared" si="2"/>
        <v>5031698.92</v>
      </c>
      <c r="H47" s="118">
        <v>951778.86</v>
      </c>
      <c r="I47" s="118">
        <v>951778.86</v>
      </c>
      <c r="J47" s="118">
        <f t="shared" si="1"/>
        <v>0.6371720474119618</v>
      </c>
      <c r="K47" s="116">
        <f t="shared" si="3"/>
        <v>7745101.14</v>
      </c>
      <c r="L47" s="118"/>
    </row>
    <row r="48" spans="1:12" ht="12.75">
      <c r="A48" s="175" t="s">
        <v>363</v>
      </c>
      <c r="B48" s="118"/>
      <c r="C48" s="118"/>
      <c r="D48" s="118"/>
      <c r="E48" s="118"/>
      <c r="F48" s="118">
        <f t="shared" si="0"/>
        <v>0</v>
      </c>
      <c r="G48" s="118">
        <f t="shared" si="2"/>
        <v>0</v>
      </c>
      <c r="H48" s="118"/>
      <c r="I48" s="118"/>
      <c r="J48" s="118">
        <f t="shared" si="1"/>
        <v>0</v>
      </c>
      <c r="K48" s="116">
        <f t="shared" si="3"/>
        <v>0</v>
      </c>
      <c r="L48" s="118"/>
    </row>
    <row r="49" spans="1:12" ht="12.75">
      <c r="A49" s="174" t="s">
        <v>259</v>
      </c>
      <c r="B49" s="118">
        <f>SUM(B50:B54)</f>
        <v>0</v>
      </c>
      <c r="C49" s="118">
        <f>SUM(C50:C54)</f>
        <v>0</v>
      </c>
      <c r="D49" s="118">
        <f>SUM(D50:D54)</f>
        <v>0</v>
      </c>
      <c r="E49" s="118">
        <f>SUM(E50:E54)</f>
        <v>0</v>
      </c>
      <c r="F49" s="118">
        <f t="shared" si="0"/>
        <v>0</v>
      </c>
      <c r="G49" s="118">
        <f>SUM(G50:G54)</f>
        <v>0</v>
      </c>
      <c r="H49" s="118">
        <f>SUM(H50:H54)</f>
        <v>0</v>
      </c>
      <c r="I49" s="118">
        <f>SUM(I50:I54)</f>
        <v>0</v>
      </c>
      <c r="J49" s="118">
        <f t="shared" si="1"/>
        <v>0</v>
      </c>
      <c r="K49" s="116">
        <f>SUM(K50:K54)</f>
        <v>0</v>
      </c>
      <c r="L49" s="118">
        <f>SUM(L50:L54)</f>
        <v>0</v>
      </c>
    </row>
    <row r="50" spans="1:12" ht="12.75">
      <c r="A50" s="175" t="s">
        <v>379</v>
      </c>
      <c r="B50" s="118"/>
      <c r="C50" s="118"/>
      <c r="D50" s="118"/>
      <c r="E50" s="118"/>
      <c r="F50" s="118">
        <f t="shared" si="0"/>
        <v>0</v>
      </c>
      <c r="G50" s="118">
        <f>C50-E50</f>
        <v>0</v>
      </c>
      <c r="H50" s="118"/>
      <c r="I50" s="118"/>
      <c r="J50" s="118">
        <f t="shared" si="1"/>
        <v>0</v>
      </c>
      <c r="K50" s="116">
        <f>C50-I50</f>
        <v>0</v>
      </c>
      <c r="L50" s="118"/>
    </row>
    <row r="51" spans="1:12" ht="12.75">
      <c r="A51" s="175" t="s">
        <v>380</v>
      </c>
      <c r="B51" s="118"/>
      <c r="C51" s="118"/>
      <c r="D51" s="118"/>
      <c r="E51" s="118"/>
      <c r="F51" s="118">
        <f t="shared" si="0"/>
        <v>0</v>
      </c>
      <c r="G51" s="118">
        <f>C51-E51</f>
        <v>0</v>
      </c>
      <c r="H51" s="118"/>
      <c r="I51" s="118"/>
      <c r="J51" s="118">
        <f t="shared" si="1"/>
        <v>0</v>
      </c>
      <c r="K51" s="116">
        <f>C51-I51</f>
        <v>0</v>
      </c>
      <c r="L51" s="118"/>
    </row>
    <row r="52" spans="1:12" ht="12.75">
      <c r="A52" s="175" t="s">
        <v>381</v>
      </c>
      <c r="B52" s="118"/>
      <c r="C52" s="118"/>
      <c r="D52" s="118"/>
      <c r="E52" s="118"/>
      <c r="F52" s="118">
        <f aca="true" t="shared" si="4" ref="F52:F83">IF($E$214&gt;0,E52/$E$214,0)*100</f>
        <v>0</v>
      </c>
      <c r="G52" s="118">
        <f>C52-E52</f>
        <v>0</v>
      </c>
      <c r="H52" s="118"/>
      <c r="I52" s="118"/>
      <c r="J52" s="118">
        <f aca="true" t="shared" si="5" ref="J52:J83">IF($I$214&gt;0,I52/$I$214,0)*100</f>
        <v>0</v>
      </c>
      <c r="K52" s="116">
        <f>C52-I52</f>
        <v>0</v>
      </c>
      <c r="L52" s="118"/>
    </row>
    <row r="53" spans="1:12" ht="12.75">
      <c r="A53" s="175" t="s">
        <v>369</v>
      </c>
      <c r="B53" s="118"/>
      <c r="C53" s="118"/>
      <c r="D53" s="118"/>
      <c r="E53" s="118"/>
      <c r="F53" s="118">
        <f t="shared" si="4"/>
        <v>0</v>
      </c>
      <c r="G53" s="118">
        <f>C53-E53</f>
        <v>0</v>
      </c>
      <c r="H53" s="118"/>
      <c r="I53" s="118"/>
      <c r="J53" s="118">
        <f t="shared" si="5"/>
        <v>0</v>
      </c>
      <c r="K53" s="116">
        <f>C53-I53</f>
        <v>0</v>
      </c>
      <c r="L53" s="118"/>
    </row>
    <row r="54" spans="1:12" ht="12.75">
      <c r="A54" s="175" t="s">
        <v>363</v>
      </c>
      <c r="B54" s="118"/>
      <c r="C54" s="118"/>
      <c r="D54" s="118"/>
      <c r="E54" s="118"/>
      <c r="F54" s="118">
        <f t="shared" si="4"/>
        <v>0</v>
      </c>
      <c r="G54" s="118">
        <f>C54-E54</f>
        <v>0</v>
      </c>
      <c r="H54" s="118"/>
      <c r="I54" s="118"/>
      <c r="J54" s="118">
        <f t="shared" si="5"/>
        <v>0</v>
      </c>
      <c r="K54" s="116">
        <f>C54-I54</f>
        <v>0</v>
      </c>
      <c r="L54" s="118"/>
    </row>
    <row r="55" spans="1:12" ht="12.75">
      <c r="A55" s="174" t="s">
        <v>260</v>
      </c>
      <c r="B55" s="118">
        <f>SUM(B56:B60)</f>
        <v>35912000</v>
      </c>
      <c r="C55" s="118">
        <f>SUM(C56:C60)</f>
        <v>35912000</v>
      </c>
      <c r="D55" s="118">
        <f>SUM(D56:D60)</f>
        <v>6498643.65</v>
      </c>
      <c r="E55" s="118">
        <f>SUM(E56:E60)</f>
        <v>6498643.65</v>
      </c>
      <c r="F55" s="118">
        <f t="shared" si="4"/>
        <v>1.3988232986565095</v>
      </c>
      <c r="G55" s="118">
        <f>SUM(G56:G60)</f>
        <v>29413356.35</v>
      </c>
      <c r="H55" s="118">
        <f>SUM(H56:H60)</f>
        <v>5083877.61</v>
      </c>
      <c r="I55" s="118">
        <f>SUM(I56:I60)</f>
        <v>5083877.61</v>
      </c>
      <c r="J55" s="118">
        <f t="shared" si="5"/>
        <v>3.4034215737419626</v>
      </c>
      <c r="K55" s="116">
        <f>SUM(K56:K60)</f>
        <v>30828122.39</v>
      </c>
      <c r="L55" s="118">
        <f>SUM(L56:L60)</f>
        <v>0</v>
      </c>
    </row>
    <row r="56" spans="1:12" ht="12.75">
      <c r="A56" s="175" t="s">
        <v>382</v>
      </c>
      <c r="B56" s="118"/>
      <c r="C56" s="118"/>
      <c r="D56" s="118"/>
      <c r="E56" s="118"/>
      <c r="F56" s="118">
        <f t="shared" si="4"/>
        <v>0</v>
      </c>
      <c r="G56" s="118">
        <f>C56-E56</f>
        <v>0</v>
      </c>
      <c r="H56" s="118"/>
      <c r="I56" s="118"/>
      <c r="J56" s="118">
        <f t="shared" si="5"/>
        <v>0</v>
      </c>
      <c r="K56" s="116">
        <f>C56-I56</f>
        <v>0</v>
      </c>
      <c r="L56" s="118"/>
    </row>
    <row r="57" spans="1:12" ht="12.75">
      <c r="A57" s="175" t="s">
        <v>383</v>
      </c>
      <c r="B57" s="118">
        <v>35912000</v>
      </c>
      <c r="C57" s="118">
        <v>35912000</v>
      </c>
      <c r="D57" s="118">
        <v>6498643.65</v>
      </c>
      <c r="E57" s="118">
        <v>6498643.65</v>
      </c>
      <c r="F57" s="118">
        <f t="shared" si="4"/>
        <v>1.3988232986565095</v>
      </c>
      <c r="G57" s="118">
        <f>C57-E57</f>
        <v>29413356.35</v>
      </c>
      <c r="H57" s="118">
        <v>5083877.61</v>
      </c>
      <c r="I57" s="118">
        <v>5083877.61</v>
      </c>
      <c r="J57" s="118">
        <f t="shared" si="5"/>
        <v>3.4034215737419626</v>
      </c>
      <c r="K57" s="116">
        <f>C57-I57</f>
        <v>30828122.39</v>
      </c>
      <c r="L57" s="118"/>
    </row>
    <row r="58" spans="1:12" ht="12.75">
      <c r="A58" s="175" t="s">
        <v>384</v>
      </c>
      <c r="B58" s="118"/>
      <c r="C58" s="118"/>
      <c r="D58" s="118"/>
      <c r="E58" s="118"/>
      <c r="F58" s="118">
        <f t="shared" si="4"/>
        <v>0</v>
      </c>
      <c r="G58" s="118">
        <f>C58-E58</f>
        <v>0</v>
      </c>
      <c r="H58" s="118"/>
      <c r="I58" s="118"/>
      <c r="J58" s="118">
        <f t="shared" si="5"/>
        <v>0</v>
      </c>
      <c r="K58" s="116">
        <f>C58-I58</f>
        <v>0</v>
      </c>
      <c r="L58" s="118"/>
    </row>
    <row r="59" spans="1:12" ht="12.75">
      <c r="A59" s="175" t="s">
        <v>369</v>
      </c>
      <c r="B59" s="118"/>
      <c r="C59" s="118"/>
      <c r="D59" s="118"/>
      <c r="E59" s="118"/>
      <c r="F59" s="118">
        <f t="shared" si="4"/>
        <v>0</v>
      </c>
      <c r="G59" s="118">
        <f>C59-E59</f>
        <v>0</v>
      </c>
      <c r="H59" s="118"/>
      <c r="I59" s="118"/>
      <c r="J59" s="118">
        <f t="shared" si="5"/>
        <v>0</v>
      </c>
      <c r="K59" s="116">
        <f>C59-I59</f>
        <v>0</v>
      </c>
      <c r="L59" s="118"/>
    </row>
    <row r="60" spans="1:12" ht="12.75">
      <c r="A60" s="175" t="s">
        <v>363</v>
      </c>
      <c r="B60" s="118"/>
      <c r="C60" s="118"/>
      <c r="D60" s="118"/>
      <c r="E60" s="118"/>
      <c r="F60" s="118">
        <f t="shared" si="4"/>
        <v>0</v>
      </c>
      <c r="G60" s="118">
        <f>C60-E60</f>
        <v>0</v>
      </c>
      <c r="H60" s="118"/>
      <c r="I60" s="118"/>
      <c r="J60" s="118">
        <f t="shared" si="5"/>
        <v>0</v>
      </c>
      <c r="K60" s="116">
        <f>C60-I60</f>
        <v>0</v>
      </c>
      <c r="L60" s="118"/>
    </row>
    <row r="61" spans="1:12" ht="12.75">
      <c r="A61" s="174" t="s">
        <v>261</v>
      </c>
      <c r="B61" s="118">
        <f>SUM(B62:B65)</f>
        <v>0</v>
      </c>
      <c r="C61" s="118">
        <f>SUM(C62:C65)</f>
        <v>0</v>
      </c>
      <c r="D61" s="118">
        <f>SUM(D62:D65)</f>
        <v>0</v>
      </c>
      <c r="E61" s="118">
        <f>SUM(E62:E65)</f>
        <v>0</v>
      </c>
      <c r="F61" s="118">
        <f t="shared" si="4"/>
        <v>0</v>
      </c>
      <c r="G61" s="118">
        <f>SUM(G62:G65)</f>
        <v>0</v>
      </c>
      <c r="H61" s="118">
        <f>SUM(H62:H65)</f>
        <v>0</v>
      </c>
      <c r="I61" s="118">
        <f>SUM(I62:I65)</f>
        <v>0</v>
      </c>
      <c r="J61" s="118">
        <f t="shared" si="5"/>
        <v>0</v>
      </c>
      <c r="K61" s="116">
        <f>SUM(K62:K65)</f>
        <v>0</v>
      </c>
      <c r="L61" s="118">
        <f>SUM(L62:L65)</f>
        <v>0</v>
      </c>
    </row>
    <row r="62" spans="1:12" ht="12.75">
      <c r="A62" s="175" t="s">
        <v>385</v>
      </c>
      <c r="B62" s="118"/>
      <c r="C62" s="118"/>
      <c r="D62" s="118"/>
      <c r="E62" s="118"/>
      <c r="F62" s="118">
        <f t="shared" si="4"/>
        <v>0</v>
      </c>
      <c r="G62" s="118">
        <f>C62-E62</f>
        <v>0</v>
      </c>
      <c r="H62" s="118"/>
      <c r="I62" s="118"/>
      <c r="J62" s="118">
        <f t="shared" si="5"/>
        <v>0</v>
      </c>
      <c r="K62" s="116">
        <f>C62-I62</f>
        <v>0</v>
      </c>
      <c r="L62" s="118"/>
    </row>
    <row r="63" spans="1:12" ht="12.75">
      <c r="A63" s="175" t="s">
        <v>386</v>
      </c>
      <c r="B63" s="118"/>
      <c r="C63" s="118"/>
      <c r="D63" s="118"/>
      <c r="E63" s="118"/>
      <c r="F63" s="118">
        <f t="shared" si="4"/>
        <v>0</v>
      </c>
      <c r="G63" s="118">
        <f>C63-E63</f>
        <v>0</v>
      </c>
      <c r="H63" s="118"/>
      <c r="I63" s="118"/>
      <c r="J63" s="118">
        <f t="shared" si="5"/>
        <v>0</v>
      </c>
      <c r="K63" s="116">
        <f>C63-I63</f>
        <v>0</v>
      </c>
      <c r="L63" s="118"/>
    </row>
    <row r="64" spans="1:12" ht="12.75">
      <c r="A64" s="175" t="s">
        <v>369</v>
      </c>
      <c r="B64" s="118"/>
      <c r="C64" s="118"/>
      <c r="D64" s="118"/>
      <c r="E64" s="118"/>
      <c r="F64" s="118">
        <f t="shared" si="4"/>
        <v>0</v>
      </c>
      <c r="G64" s="118">
        <f>C64-E64</f>
        <v>0</v>
      </c>
      <c r="H64" s="118"/>
      <c r="I64" s="118"/>
      <c r="J64" s="118">
        <f t="shared" si="5"/>
        <v>0</v>
      </c>
      <c r="K64" s="116">
        <f>C64-I64</f>
        <v>0</v>
      </c>
      <c r="L64" s="118"/>
    </row>
    <row r="65" spans="1:12" ht="12.75">
      <c r="A65" s="175" t="s">
        <v>363</v>
      </c>
      <c r="B65" s="118"/>
      <c r="C65" s="118"/>
      <c r="D65" s="118"/>
      <c r="E65" s="118"/>
      <c r="F65" s="118">
        <f t="shared" si="4"/>
        <v>0</v>
      </c>
      <c r="G65" s="118">
        <f>C65-E65</f>
        <v>0</v>
      </c>
      <c r="H65" s="118"/>
      <c r="I65" s="118"/>
      <c r="J65" s="118">
        <f t="shared" si="5"/>
        <v>0</v>
      </c>
      <c r="K65" s="116">
        <f>C65-I65</f>
        <v>0</v>
      </c>
      <c r="L65" s="118"/>
    </row>
    <row r="66" spans="1:12" ht="12.75">
      <c r="A66" s="174" t="s">
        <v>262</v>
      </c>
      <c r="B66" s="118">
        <f>SUM(B67:B72)</f>
        <v>25228900</v>
      </c>
      <c r="C66" s="118">
        <f>SUM(C67:C72)</f>
        <v>27739977.5</v>
      </c>
      <c r="D66" s="118">
        <f>SUM(D67:D72)</f>
        <v>9835840.27</v>
      </c>
      <c r="E66" s="118">
        <f>SUM(E67:E72)</f>
        <v>9835840.27</v>
      </c>
      <c r="F66" s="118">
        <f t="shared" si="4"/>
        <v>2.1171498658092958</v>
      </c>
      <c r="G66" s="118">
        <f>SUM(G67:G72)</f>
        <v>17904137.23</v>
      </c>
      <c r="H66" s="118">
        <f>SUM(H67:H72)</f>
        <v>3782221.4099999997</v>
      </c>
      <c r="I66" s="118">
        <f>SUM(I67:I72)</f>
        <v>3782221.4099999997</v>
      </c>
      <c r="J66" s="118">
        <f t="shared" si="5"/>
        <v>2.5320227847622676</v>
      </c>
      <c r="K66" s="116">
        <f>SUM(K67:K72)</f>
        <v>23957756.09</v>
      </c>
      <c r="L66" s="118">
        <f>SUM(L67:L72)</f>
        <v>0</v>
      </c>
    </row>
    <row r="67" spans="1:12" ht="12.75">
      <c r="A67" s="175" t="s">
        <v>387</v>
      </c>
      <c r="B67" s="118">
        <v>26360</v>
      </c>
      <c r="C67" s="118">
        <v>26360</v>
      </c>
      <c r="D67" s="118">
        <v>0</v>
      </c>
      <c r="E67" s="118">
        <v>0</v>
      </c>
      <c r="F67" s="118">
        <f t="shared" si="4"/>
        <v>0</v>
      </c>
      <c r="G67" s="118">
        <f aca="true" t="shared" si="6" ref="G67:G72">C67-E67</f>
        <v>26360</v>
      </c>
      <c r="H67" s="118">
        <v>0</v>
      </c>
      <c r="I67" s="118">
        <v>0</v>
      </c>
      <c r="J67" s="118">
        <f t="shared" si="5"/>
        <v>0</v>
      </c>
      <c r="K67" s="116">
        <f aca="true" t="shared" si="7" ref="K67:K72">C67-I67</f>
        <v>26360</v>
      </c>
      <c r="L67" s="118"/>
    </row>
    <row r="68" spans="1:12" ht="12.75">
      <c r="A68" s="175" t="s">
        <v>388</v>
      </c>
      <c r="B68" s="118">
        <v>200</v>
      </c>
      <c r="C68" s="118">
        <v>200</v>
      </c>
      <c r="D68" s="118">
        <v>0</v>
      </c>
      <c r="E68" s="118">
        <v>0</v>
      </c>
      <c r="F68" s="118">
        <f t="shared" si="4"/>
        <v>0</v>
      </c>
      <c r="G68" s="118">
        <f t="shared" si="6"/>
        <v>200</v>
      </c>
      <c r="H68" s="118">
        <v>0</v>
      </c>
      <c r="I68" s="118">
        <v>0</v>
      </c>
      <c r="J68" s="118">
        <f t="shared" si="5"/>
        <v>0</v>
      </c>
      <c r="K68" s="116">
        <f t="shared" si="7"/>
        <v>200</v>
      </c>
      <c r="L68" s="118"/>
    </row>
    <row r="69" spans="1:12" ht="12.75">
      <c r="A69" s="175" t="s">
        <v>389</v>
      </c>
      <c r="B69" s="118">
        <v>1323200</v>
      </c>
      <c r="C69" s="118">
        <v>1973200</v>
      </c>
      <c r="D69" s="118">
        <v>970581.87</v>
      </c>
      <c r="E69" s="118">
        <v>970581.87</v>
      </c>
      <c r="F69" s="118">
        <f t="shared" si="4"/>
        <v>0.20891629178799537</v>
      </c>
      <c r="G69" s="118">
        <f t="shared" si="6"/>
        <v>1002618.13</v>
      </c>
      <c r="H69" s="118">
        <v>937171.88</v>
      </c>
      <c r="I69" s="118">
        <v>937171.88</v>
      </c>
      <c r="J69" s="118">
        <f t="shared" si="5"/>
        <v>0.6273933480267857</v>
      </c>
      <c r="K69" s="116">
        <f t="shared" si="7"/>
        <v>1036028.12</v>
      </c>
      <c r="L69" s="118"/>
    </row>
    <row r="70" spans="1:12" ht="12.75">
      <c r="A70" s="175" t="s">
        <v>390</v>
      </c>
      <c r="B70" s="118">
        <v>23879140</v>
      </c>
      <c r="C70" s="118">
        <v>25740217.5</v>
      </c>
      <c r="D70" s="118">
        <v>8865258.4</v>
      </c>
      <c r="E70" s="118">
        <v>8865258.4</v>
      </c>
      <c r="F70" s="118">
        <f t="shared" si="4"/>
        <v>1.9082335740213003</v>
      </c>
      <c r="G70" s="118">
        <f t="shared" si="6"/>
        <v>16874959.1</v>
      </c>
      <c r="H70" s="118">
        <v>2845049.53</v>
      </c>
      <c r="I70" s="118">
        <v>2845049.53</v>
      </c>
      <c r="J70" s="118">
        <f t="shared" si="5"/>
        <v>1.9046294367354821</v>
      </c>
      <c r="K70" s="116">
        <f t="shared" si="7"/>
        <v>22895167.97</v>
      </c>
      <c r="L70" s="118"/>
    </row>
    <row r="71" spans="1:12" ht="12.75">
      <c r="A71" s="175" t="s">
        <v>369</v>
      </c>
      <c r="B71" s="118"/>
      <c r="C71" s="118"/>
      <c r="D71" s="118"/>
      <c r="E71" s="118"/>
      <c r="F71" s="118">
        <f t="shared" si="4"/>
        <v>0</v>
      </c>
      <c r="G71" s="118">
        <f t="shared" si="6"/>
        <v>0</v>
      </c>
      <c r="H71" s="118"/>
      <c r="I71" s="118"/>
      <c r="J71" s="118">
        <f t="shared" si="5"/>
        <v>0</v>
      </c>
      <c r="K71" s="116">
        <f t="shared" si="7"/>
        <v>0</v>
      </c>
      <c r="L71" s="118"/>
    </row>
    <row r="72" spans="1:12" ht="12.75">
      <c r="A72" s="175" t="s">
        <v>363</v>
      </c>
      <c r="B72" s="118"/>
      <c r="C72" s="118"/>
      <c r="D72" s="118"/>
      <c r="E72" s="118"/>
      <c r="F72" s="118">
        <f t="shared" si="4"/>
        <v>0</v>
      </c>
      <c r="G72" s="118">
        <f t="shared" si="6"/>
        <v>0</v>
      </c>
      <c r="H72" s="118"/>
      <c r="I72" s="118"/>
      <c r="J72" s="118">
        <f t="shared" si="5"/>
        <v>0</v>
      </c>
      <c r="K72" s="116">
        <f t="shared" si="7"/>
        <v>0</v>
      </c>
      <c r="L72" s="118"/>
    </row>
    <row r="73" spans="1:12" ht="12.75">
      <c r="A73" s="174" t="s">
        <v>263</v>
      </c>
      <c r="B73" s="118">
        <f>SUM(B74:B79)</f>
        <v>94940000</v>
      </c>
      <c r="C73" s="118">
        <f>SUM(C74:C79)</f>
        <v>94940000</v>
      </c>
      <c r="D73" s="118">
        <f>SUM(D74:D79)</f>
        <v>13132650.31</v>
      </c>
      <c r="E73" s="118">
        <f>SUM(E74:E79)</f>
        <v>13132650.31</v>
      </c>
      <c r="F73" s="118">
        <f t="shared" si="4"/>
        <v>2.8267832821909895</v>
      </c>
      <c r="G73" s="118">
        <f>SUM(G74:G79)</f>
        <v>81807349.69</v>
      </c>
      <c r="H73" s="118">
        <f>SUM(H74:H79)</f>
        <v>12786803.25</v>
      </c>
      <c r="I73" s="118">
        <f>SUM(I74:I79)</f>
        <v>12786803.25</v>
      </c>
      <c r="J73" s="118">
        <f t="shared" si="5"/>
        <v>8.560175003946217</v>
      </c>
      <c r="K73" s="116">
        <f>SUM(K74:K79)</f>
        <v>82153196.75</v>
      </c>
      <c r="L73" s="118">
        <f>SUM(L74:L79)</f>
        <v>0</v>
      </c>
    </row>
    <row r="74" spans="1:12" ht="12.75">
      <c r="A74" s="175" t="s">
        <v>391</v>
      </c>
      <c r="B74" s="118"/>
      <c r="C74" s="118"/>
      <c r="D74" s="118"/>
      <c r="E74" s="118"/>
      <c r="F74" s="118">
        <f t="shared" si="4"/>
        <v>0</v>
      </c>
      <c r="G74" s="118">
        <f aca="true" t="shared" si="8" ref="G74:G79">C74-E74</f>
        <v>0</v>
      </c>
      <c r="H74" s="118"/>
      <c r="I74" s="118"/>
      <c r="J74" s="118">
        <f t="shared" si="5"/>
        <v>0</v>
      </c>
      <c r="K74" s="116">
        <f aca="true" t="shared" si="9" ref="K74:K79">C74-I74</f>
        <v>0</v>
      </c>
      <c r="L74" s="118"/>
    </row>
    <row r="75" spans="1:12" ht="12.75">
      <c r="A75" s="175" t="s">
        <v>392</v>
      </c>
      <c r="B75" s="118">
        <v>94940000</v>
      </c>
      <c r="C75" s="118">
        <v>94940000</v>
      </c>
      <c r="D75" s="118">
        <v>13132650.31</v>
      </c>
      <c r="E75" s="118">
        <v>13132650.31</v>
      </c>
      <c r="F75" s="118">
        <f t="shared" si="4"/>
        <v>2.8267832821909895</v>
      </c>
      <c r="G75" s="118">
        <f t="shared" si="8"/>
        <v>81807349.69</v>
      </c>
      <c r="H75" s="118">
        <v>12786803.25</v>
      </c>
      <c r="I75" s="118">
        <v>12786803.25</v>
      </c>
      <c r="J75" s="118">
        <f t="shared" si="5"/>
        <v>8.560175003946217</v>
      </c>
      <c r="K75" s="116">
        <f t="shared" si="9"/>
        <v>82153196.75</v>
      </c>
      <c r="L75" s="118"/>
    </row>
    <row r="76" spans="1:12" ht="12.75">
      <c r="A76" s="175" t="s">
        <v>393</v>
      </c>
      <c r="B76" s="118"/>
      <c r="C76" s="118"/>
      <c r="D76" s="118"/>
      <c r="E76" s="118"/>
      <c r="F76" s="118">
        <f t="shared" si="4"/>
        <v>0</v>
      </c>
      <c r="G76" s="118">
        <f t="shared" si="8"/>
        <v>0</v>
      </c>
      <c r="H76" s="118"/>
      <c r="I76" s="118"/>
      <c r="J76" s="118">
        <f t="shared" si="5"/>
        <v>0</v>
      </c>
      <c r="K76" s="116">
        <f t="shared" si="9"/>
        <v>0</v>
      </c>
      <c r="L76" s="118"/>
    </row>
    <row r="77" spans="1:12" ht="12.75">
      <c r="A77" s="175" t="s">
        <v>394</v>
      </c>
      <c r="B77" s="118"/>
      <c r="C77" s="118"/>
      <c r="D77" s="118"/>
      <c r="E77" s="118"/>
      <c r="F77" s="118">
        <f t="shared" si="4"/>
        <v>0</v>
      </c>
      <c r="G77" s="118">
        <f t="shared" si="8"/>
        <v>0</v>
      </c>
      <c r="H77" s="118"/>
      <c r="I77" s="118"/>
      <c r="J77" s="118">
        <f t="shared" si="5"/>
        <v>0</v>
      </c>
      <c r="K77" s="116">
        <f t="shared" si="9"/>
        <v>0</v>
      </c>
      <c r="L77" s="118"/>
    </row>
    <row r="78" spans="1:12" ht="12.75">
      <c r="A78" s="175" t="s">
        <v>369</v>
      </c>
      <c r="B78" s="118"/>
      <c r="C78" s="118"/>
      <c r="D78" s="118"/>
      <c r="E78" s="118"/>
      <c r="F78" s="118">
        <f t="shared" si="4"/>
        <v>0</v>
      </c>
      <c r="G78" s="118">
        <f t="shared" si="8"/>
        <v>0</v>
      </c>
      <c r="H78" s="118"/>
      <c r="I78" s="118"/>
      <c r="J78" s="118">
        <f t="shared" si="5"/>
        <v>0</v>
      </c>
      <c r="K78" s="116">
        <f t="shared" si="9"/>
        <v>0</v>
      </c>
      <c r="L78" s="118"/>
    </row>
    <row r="79" spans="1:12" ht="12.75">
      <c r="A79" s="175" t="s">
        <v>363</v>
      </c>
      <c r="B79" s="118"/>
      <c r="C79" s="118"/>
      <c r="D79" s="118"/>
      <c r="E79" s="118"/>
      <c r="F79" s="118">
        <f t="shared" si="4"/>
        <v>0</v>
      </c>
      <c r="G79" s="118">
        <f t="shared" si="8"/>
        <v>0</v>
      </c>
      <c r="H79" s="118"/>
      <c r="I79" s="118"/>
      <c r="J79" s="118">
        <f t="shared" si="5"/>
        <v>0</v>
      </c>
      <c r="K79" s="116">
        <f t="shared" si="9"/>
        <v>0</v>
      </c>
      <c r="L79" s="118"/>
    </row>
    <row r="80" spans="1:12" ht="12.75">
      <c r="A80" s="174" t="s">
        <v>264</v>
      </c>
      <c r="B80" s="118">
        <f>SUM(B81:B88)</f>
        <v>257257000</v>
      </c>
      <c r="C80" s="118">
        <f>SUM(C81:C88)</f>
        <v>270729111.42999995</v>
      </c>
      <c r="D80" s="118">
        <f>SUM(D81:D88)</f>
        <v>143085586.65</v>
      </c>
      <c r="E80" s="118">
        <f>SUM(E81:E88)</f>
        <v>143085586.65</v>
      </c>
      <c r="F80" s="118">
        <f t="shared" si="4"/>
        <v>30.798957919158227</v>
      </c>
      <c r="G80" s="118">
        <f>SUM(G81:G88)</f>
        <v>127643524.77999997</v>
      </c>
      <c r="H80" s="118">
        <f>SUM(H81:H88)</f>
        <v>39701683.43000001</v>
      </c>
      <c r="I80" s="118">
        <f>SUM(I81:I88)</f>
        <v>39701683.43000001</v>
      </c>
      <c r="J80" s="118">
        <f t="shared" si="5"/>
        <v>26.578445876382105</v>
      </c>
      <c r="K80" s="116">
        <f>SUM(K81:K88)</f>
        <v>231027428.00000003</v>
      </c>
      <c r="L80" s="118">
        <f>SUM(L81:L88)</f>
        <v>0</v>
      </c>
    </row>
    <row r="81" spans="1:12" ht="12.75">
      <c r="A81" s="175" t="s">
        <v>209</v>
      </c>
      <c r="B81" s="118">
        <v>39240000</v>
      </c>
      <c r="C81" s="118">
        <v>39624759.29</v>
      </c>
      <c r="D81" s="118">
        <v>8887637.07</v>
      </c>
      <c r="E81" s="118">
        <v>8887637.07</v>
      </c>
      <c r="F81" s="118">
        <f t="shared" si="4"/>
        <v>1.9130505491740994</v>
      </c>
      <c r="G81" s="118">
        <f aca="true" t="shared" si="10" ref="G81:G88">C81-E81</f>
        <v>30737122.22</v>
      </c>
      <c r="H81" s="118">
        <v>6544218.39</v>
      </c>
      <c r="I81" s="118">
        <v>6544218.39</v>
      </c>
      <c r="J81" s="118">
        <f t="shared" si="5"/>
        <v>4.381052369945801</v>
      </c>
      <c r="K81" s="116">
        <f aca="true" t="shared" si="11" ref="K81:K88">C81-I81</f>
        <v>33080540.9</v>
      </c>
      <c r="L81" s="118"/>
    </row>
    <row r="82" spans="1:12" ht="12.75">
      <c r="A82" s="175" t="s">
        <v>210</v>
      </c>
      <c r="B82" s="118">
        <v>136629000</v>
      </c>
      <c r="C82" s="118">
        <v>148606356.88</v>
      </c>
      <c r="D82" s="118">
        <v>85204428.43</v>
      </c>
      <c r="E82" s="118">
        <v>85204428.43</v>
      </c>
      <c r="F82" s="118">
        <f t="shared" si="4"/>
        <v>18.34012542549476</v>
      </c>
      <c r="G82" s="118">
        <f t="shared" si="10"/>
        <v>63401928.44999999</v>
      </c>
      <c r="H82" s="118">
        <v>21263074.02</v>
      </c>
      <c r="I82" s="118">
        <v>21263074.02</v>
      </c>
      <c r="J82" s="118">
        <f t="shared" si="5"/>
        <v>14.234647329312915</v>
      </c>
      <c r="K82" s="116">
        <f t="shared" si="11"/>
        <v>127343282.86</v>
      </c>
      <c r="L82" s="118"/>
    </row>
    <row r="83" spans="1:12" ht="12.75">
      <c r="A83" s="175" t="s">
        <v>211</v>
      </c>
      <c r="B83" s="118">
        <v>12426500</v>
      </c>
      <c r="C83" s="118">
        <v>13515435.67</v>
      </c>
      <c r="D83" s="118">
        <v>3040501.6</v>
      </c>
      <c r="E83" s="118">
        <v>3040501.6</v>
      </c>
      <c r="F83" s="118">
        <f t="shared" si="4"/>
        <v>0.6544634090965112</v>
      </c>
      <c r="G83" s="118">
        <f t="shared" si="10"/>
        <v>10474934.07</v>
      </c>
      <c r="H83" s="118">
        <v>1853142.12</v>
      </c>
      <c r="I83" s="118">
        <v>1853142.12</v>
      </c>
      <c r="J83" s="118">
        <f t="shared" si="5"/>
        <v>1.2405931759670974</v>
      </c>
      <c r="K83" s="116">
        <f t="shared" si="11"/>
        <v>11662293.55</v>
      </c>
      <c r="L83" s="118"/>
    </row>
    <row r="84" spans="1:12" ht="12.75">
      <c r="A84" s="175" t="s">
        <v>212</v>
      </c>
      <c r="B84" s="118">
        <v>2328000</v>
      </c>
      <c r="C84" s="118">
        <v>2349059.59</v>
      </c>
      <c r="D84" s="118">
        <v>335977.12</v>
      </c>
      <c r="E84" s="118">
        <v>335977.12</v>
      </c>
      <c r="F84" s="118">
        <f aca="true" t="shared" si="12" ref="F84:F115">IF($E$214&gt;0,E84/$E$214,0)*100</f>
        <v>0.07231857116392494</v>
      </c>
      <c r="G84" s="118">
        <f t="shared" si="10"/>
        <v>2013082.4699999997</v>
      </c>
      <c r="H84" s="118">
        <v>328970.44</v>
      </c>
      <c r="I84" s="118">
        <v>328970.44</v>
      </c>
      <c r="J84" s="118">
        <f aca="true" t="shared" si="13" ref="J84:J115">IF($I$214&gt;0,I84/$I$214,0)*100</f>
        <v>0.2202305363168225</v>
      </c>
      <c r="K84" s="116">
        <f t="shared" si="11"/>
        <v>2020089.15</v>
      </c>
      <c r="L84" s="118"/>
    </row>
    <row r="85" spans="1:12" ht="12.75">
      <c r="A85" s="175" t="s">
        <v>213</v>
      </c>
      <c r="B85" s="118">
        <v>4056000</v>
      </c>
      <c r="C85" s="118">
        <v>4056000</v>
      </c>
      <c r="D85" s="118">
        <v>987512.98</v>
      </c>
      <c r="E85" s="118">
        <v>987512.98</v>
      </c>
      <c r="F85" s="118">
        <f t="shared" si="12"/>
        <v>0.21256068782133014</v>
      </c>
      <c r="G85" s="118">
        <f t="shared" si="10"/>
        <v>3068487.02</v>
      </c>
      <c r="H85" s="118">
        <v>662959.92</v>
      </c>
      <c r="I85" s="118">
        <v>662959.92</v>
      </c>
      <c r="J85" s="118">
        <f t="shared" si="13"/>
        <v>0.44382108841802853</v>
      </c>
      <c r="K85" s="116">
        <f t="shared" si="11"/>
        <v>3393040.08</v>
      </c>
      <c r="L85" s="118"/>
    </row>
    <row r="86" spans="1:12" ht="12.75">
      <c r="A86" s="175" t="s">
        <v>214</v>
      </c>
      <c r="B86" s="118"/>
      <c r="C86" s="118"/>
      <c r="D86" s="118"/>
      <c r="E86" s="118"/>
      <c r="F86" s="118">
        <f t="shared" si="12"/>
        <v>0</v>
      </c>
      <c r="G86" s="118">
        <f t="shared" si="10"/>
        <v>0</v>
      </c>
      <c r="H86" s="118"/>
      <c r="I86" s="118"/>
      <c r="J86" s="118">
        <f t="shared" si="13"/>
        <v>0</v>
      </c>
      <c r="K86" s="116">
        <f t="shared" si="11"/>
        <v>0</v>
      </c>
      <c r="L86" s="118"/>
    </row>
    <row r="87" spans="1:12" ht="12.75">
      <c r="A87" s="175" t="s">
        <v>369</v>
      </c>
      <c r="B87" s="118">
        <v>62577500</v>
      </c>
      <c r="C87" s="118">
        <v>62577500</v>
      </c>
      <c r="D87" s="118">
        <v>44629529.45</v>
      </c>
      <c r="E87" s="118">
        <v>44629529.45</v>
      </c>
      <c r="F87" s="118">
        <f t="shared" si="12"/>
        <v>9.606439276407599</v>
      </c>
      <c r="G87" s="118">
        <f t="shared" si="10"/>
        <v>17947970.549999997</v>
      </c>
      <c r="H87" s="118">
        <v>9049318.54</v>
      </c>
      <c r="I87" s="118">
        <v>9049318.54</v>
      </c>
      <c r="J87" s="118">
        <f t="shared" si="13"/>
        <v>6.058101376421435</v>
      </c>
      <c r="K87" s="116">
        <f t="shared" si="11"/>
        <v>53528181.46</v>
      </c>
      <c r="L87" s="118"/>
    </row>
    <row r="88" spans="1:12" ht="12.75">
      <c r="A88" s="175" t="s">
        <v>363</v>
      </c>
      <c r="B88" s="118"/>
      <c r="C88" s="118"/>
      <c r="D88" s="118"/>
      <c r="E88" s="118"/>
      <c r="F88" s="118">
        <f t="shared" si="12"/>
        <v>0</v>
      </c>
      <c r="G88" s="118">
        <f t="shared" si="10"/>
        <v>0</v>
      </c>
      <c r="H88" s="118"/>
      <c r="I88" s="118"/>
      <c r="J88" s="118">
        <f t="shared" si="13"/>
        <v>0</v>
      </c>
      <c r="K88" s="116">
        <f t="shared" si="11"/>
        <v>0</v>
      </c>
      <c r="L88" s="118"/>
    </row>
    <row r="89" spans="1:12" ht="12.75">
      <c r="A89" s="174" t="s">
        <v>265</v>
      </c>
      <c r="B89" s="118">
        <f>SUM(B90:B95)</f>
        <v>0</v>
      </c>
      <c r="C89" s="118">
        <f>SUM(C90:C95)</f>
        <v>0</v>
      </c>
      <c r="D89" s="118">
        <f>SUM(D90:D95)</f>
        <v>0</v>
      </c>
      <c r="E89" s="118">
        <f>SUM(E90:E95)</f>
        <v>0</v>
      </c>
      <c r="F89" s="118">
        <f t="shared" si="12"/>
        <v>0</v>
      </c>
      <c r="G89" s="118">
        <f>SUM(G90:G95)</f>
        <v>0</v>
      </c>
      <c r="H89" s="118">
        <f>SUM(H90:H95)</f>
        <v>0</v>
      </c>
      <c r="I89" s="118">
        <f>SUM(I90:I95)</f>
        <v>0</v>
      </c>
      <c r="J89" s="118">
        <f t="shared" si="13"/>
        <v>0</v>
      </c>
      <c r="K89" s="116">
        <f>SUM(K90:K95)</f>
        <v>0</v>
      </c>
      <c r="L89" s="118">
        <f>SUM(L90:L95)</f>
        <v>0</v>
      </c>
    </row>
    <row r="90" spans="1:12" ht="12.75">
      <c r="A90" s="175" t="s">
        <v>395</v>
      </c>
      <c r="B90" s="118"/>
      <c r="C90" s="118"/>
      <c r="D90" s="118"/>
      <c r="E90" s="118"/>
      <c r="F90" s="118">
        <f t="shared" si="12"/>
        <v>0</v>
      </c>
      <c r="G90" s="118">
        <f aca="true" t="shared" si="14" ref="G90:G95">C90-E90</f>
        <v>0</v>
      </c>
      <c r="H90" s="118"/>
      <c r="I90" s="118"/>
      <c r="J90" s="118">
        <f t="shared" si="13"/>
        <v>0</v>
      </c>
      <c r="K90" s="116">
        <f aca="true" t="shared" si="15" ref="K90:K95">C90-I90</f>
        <v>0</v>
      </c>
      <c r="L90" s="118"/>
    </row>
    <row r="91" spans="1:12" ht="12.75">
      <c r="A91" s="175" t="s">
        <v>396</v>
      </c>
      <c r="B91" s="118"/>
      <c r="C91" s="118"/>
      <c r="D91" s="118"/>
      <c r="E91" s="118"/>
      <c r="F91" s="118">
        <f t="shared" si="12"/>
        <v>0</v>
      </c>
      <c r="G91" s="118">
        <f t="shared" si="14"/>
        <v>0</v>
      </c>
      <c r="H91" s="118"/>
      <c r="I91" s="118"/>
      <c r="J91" s="118">
        <f t="shared" si="13"/>
        <v>0</v>
      </c>
      <c r="K91" s="116">
        <f t="shared" si="15"/>
        <v>0</v>
      </c>
      <c r="L91" s="118"/>
    </row>
    <row r="92" spans="1:12" ht="12.75">
      <c r="A92" s="175" t="s">
        <v>397</v>
      </c>
      <c r="B92" s="118"/>
      <c r="C92" s="118"/>
      <c r="D92" s="118"/>
      <c r="E92" s="118"/>
      <c r="F92" s="118">
        <f t="shared" si="12"/>
        <v>0</v>
      </c>
      <c r="G92" s="118">
        <f t="shared" si="14"/>
        <v>0</v>
      </c>
      <c r="H92" s="118"/>
      <c r="I92" s="118"/>
      <c r="J92" s="118">
        <f t="shared" si="13"/>
        <v>0</v>
      </c>
      <c r="K92" s="116">
        <f t="shared" si="15"/>
        <v>0</v>
      </c>
      <c r="L92" s="118"/>
    </row>
    <row r="93" spans="1:12" ht="12.75">
      <c r="A93" s="175" t="s">
        <v>398</v>
      </c>
      <c r="B93" s="118"/>
      <c r="C93" s="118"/>
      <c r="D93" s="118"/>
      <c r="E93" s="118"/>
      <c r="F93" s="118">
        <f t="shared" si="12"/>
        <v>0</v>
      </c>
      <c r="G93" s="118">
        <f t="shared" si="14"/>
        <v>0</v>
      </c>
      <c r="H93" s="118"/>
      <c r="I93" s="118"/>
      <c r="J93" s="118">
        <f t="shared" si="13"/>
        <v>0</v>
      </c>
      <c r="K93" s="116">
        <f t="shared" si="15"/>
        <v>0</v>
      </c>
      <c r="L93" s="118"/>
    </row>
    <row r="94" spans="1:12" ht="12.75">
      <c r="A94" s="175" t="s">
        <v>369</v>
      </c>
      <c r="B94" s="118"/>
      <c r="C94" s="118"/>
      <c r="D94" s="118"/>
      <c r="E94" s="118"/>
      <c r="F94" s="118">
        <f t="shared" si="12"/>
        <v>0</v>
      </c>
      <c r="G94" s="118">
        <f t="shared" si="14"/>
        <v>0</v>
      </c>
      <c r="H94" s="118"/>
      <c r="I94" s="118"/>
      <c r="J94" s="118">
        <f t="shared" si="13"/>
        <v>0</v>
      </c>
      <c r="K94" s="116">
        <f t="shared" si="15"/>
        <v>0</v>
      </c>
      <c r="L94" s="118"/>
    </row>
    <row r="95" spans="1:12" ht="12.75">
      <c r="A95" s="175" t="s">
        <v>363</v>
      </c>
      <c r="B95" s="118"/>
      <c r="C95" s="118"/>
      <c r="D95" s="118"/>
      <c r="E95" s="118"/>
      <c r="F95" s="118">
        <f t="shared" si="12"/>
        <v>0</v>
      </c>
      <c r="G95" s="118">
        <f t="shared" si="14"/>
        <v>0</v>
      </c>
      <c r="H95" s="118"/>
      <c r="I95" s="118"/>
      <c r="J95" s="118">
        <f t="shared" si="13"/>
        <v>0</v>
      </c>
      <c r="K95" s="116">
        <f t="shared" si="15"/>
        <v>0</v>
      </c>
      <c r="L95" s="118"/>
    </row>
    <row r="96" spans="1:12" ht="12.75">
      <c r="A96" s="174" t="s">
        <v>266</v>
      </c>
      <c r="B96" s="118">
        <f>SUM(B97:B106)</f>
        <v>244604100</v>
      </c>
      <c r="C96" s="118">
        <f>SUM(C97:C106)</f>
        <v>264508406.26</v>
      </c>
      <c r="D96" s="118">
        <f>SUM(D97:D106)</f>
        <v>96190697.28</v>
      </c>
      <c r="E96" s="118">
        <f>SUM(E97:E106)</f>
        <v>96190697.28</v>
      </c>
      <c r="F96" s="118">
        <f t="shared" si="12"/>
        <v>20.70490331767604</v>
      </c>
      <c r="G96" s="118">
        <f>SUM(G97:G106)</f>
        <v>168317708.98</v>
      </c>
      <c r="H96" s="118">
        <f>SUM(H97:H106)</f>
        <v>31105000.310000002</v>
      </c>
      <c r="I96" s="118">
        <f>SUM(I97:I106)</f>
        <v>31105000.310000002</v>
      </c>
      <c r="J96" s="118">
        <f t="shared" si="13"/>
        <v>20.82336303652763</v>
      </c>
      <c r="K96" s="116">
        <f>SUM(K97:K106)</f>
        <v>233403405.95</v>
      </c>
      <c r="L96" s="118">
        <f>SUM(L97:L106)</f>
        <v>0</v>
      </c>
    </row>
    <row r="97" spans="1:12" ht="12.75">
      <c r="A97" s="175" t="s">
        <v>399</v>
      </c>
      <c r="B97" s="118">
        <v>127000500</v>
      </c>
      <c r="C97" s="118">
        <v>140835500</v>
      </c>
      <c r="D97" s="118">
        <v>41459671.31</v>
      </c>
      <c r="E97" s="118">
        <v>41459671.31</v>
      </c>
      <c r="F97" s="118">
        <f t="shared" si="12"/>
        <v>8.924132066091799</v>
      </c>
      <c r="G97" s="118">
        <f aca="true" t="shared" si="16" ref="G97:G106">C97-E97</f>
        <v>99375828.69</v>
      </c>
      <c r="H97" s="118">
        <v>13525554.49</v>
      </c>
      <c r="I97" s="118">
        <v>13525554.49</v>
      </c>
      <c r="J97" s="118">
        <f t="shared" si="13"/>
        <v>9.05473488534443</v>
      </c>
      <c r="K97" s="116">
        <f aca="true" t="shared" si="17" ref="K97:K106">C97-I97</f>
        <v>127309945.51</v>
      </c>
      <c r="L97" s="118"/>
    </row>
    <row r="98" spans="1:12" ht="12.75">
      <c r="A98" s="175" t="s">
        <v>400</v>
      </c>
      <c r="B98" s="118">
        <v>7066000</v>
      </c>
      <c r="C98" s="118">
        <v>7066000</v>
      </c>
      <c r="D98" s="118">
        <v>1795583.18</v>
      </c>
      <c r="E98" s="118">
        <v>1795583.18</v>
      </c>
      <c r="F98" s="118">
        <f t="shared" si="12"/>
        <v>0.3864965863853367</v>
      </c>
      <c r="G98" s="118">
        <f t="shared" si="16"/>
        <v>5270416.82</v>
      </c>
      <c r="H98" s="118">
        <v>26849.88</v>
      </c>
      <c r="I98" s="118">
        <v>26849.88</v>
      </c>
      <c r="J98" s="118">
        <f t="shared" si="13"/>
        <v>0.017974756249960717</v>
      </c>
      <c r="K98" s="116">
        <f t="shared" si="17"/>
        <v>7039150.12</v>
      </c>
      <c r="L98" s="118"/>
    </row>
    <row r="99" spans="1:12" ht="12.75">
      <c r="A99" s="175" t="s">
        <v>401</v>
      </c>
      <c r="B99" s="118">
        <v>7997000</v>
      </c>
      <c r="C99" s="118">
        <v>8977000</v>
      </c>
      <c r="D99" s="118">
        <v>3152839.63</v>
      </c>
      <c r="E99" s="118">
        <v>3152839.63</v>
      </c>
      <c r="F99" s="118">
        <f t="shared" si="12"/>
        <v>0.6786440015635522</v>
      </c>
      <c r="G99" s="118">
        <f t="shared" si="16"/>
        <v>5824160.37</v>
      </c>
      <c r="H99" s="118">
        <v>1653293.31</v>
      </c>
      <c r="I99" s="118">
        <v>1653293.31</v>
      </c>
      <c r="J99" s="118">
        <f t="shared" si="13"/>
        <v>1.1068036153957015</v>
      </c>
      <c r="K99" s="116">
        <f t="shared" si="17"/>
        <v>7323706.6899999995</v>
      </c>
      <c r="L99" s="118"/>
    </row>
    <row r="100" spans="1:12" ht="12.75">
      <c r="A100" s="175" t="s">
        <v>402</v>
      </c>
      <c r="B100" s="118">
        <v>180100</v>
      </c>
      <c r="C100" s="118">
        <v>180100</v>
      </c>
      <c r="D100" s="118">
        <v>18685.27</v>
      </c>
      <c r="E100" s="118">
        <v>18685.27</v>
      </c>
      <c r="F100" s="118">
        <f t="shared" si="12"/>
        <v>0.004021976342353764</v>
      </c>
      <c r="G100" s="118">
        <f t="shared" si="16"/>
        <v>161414.73</v>
      </c>
      <c r="H100" s="118">
        <v>18685.27</v>
      </c>
      <c r="I100" s="118">
        <v>18685.27</v>
      </c>
      <c r="J100" s="118">
        <f t="shared" si="13"/>
        <v>0.012508926435228144</v>
      </c>
      <c r="K100" s="116">
        <f t="shared" si="17"/>
        <v>161414.73</v>
      </c>
      <c r="L100" s="118"/>
    </row>
    <row r="101" spans="1:12" ht="12.75">
      <c r="A101" s="175" t="s">
        <v>403</v>
      </c>
      <c r="B101" s="118">
        <v>98085500</v>
      </c>
      <c r="C101" s="118">
        <v>102897806.26</v>
      </c>
      <c r="D101" s="118">
        <v>47742026.36</v>
      </c>
      <c r="E101" s="118">
        <v>47742026.36</v>
      </c>
      <c r="F101" s="118">
        <f t="shared" si="12"/>
        <v>10.276399567999274</v>
      </c>
      <c r="G101" s="118">
        <f t="shared" si="16"/>
        <v>55155779.900000006</v>
      </c>
      <c r="H101" s="118">
        <v>15335924.82</v>
      </c>
      <c r="I101" s="118">
        <v>15335924.82</v>
      </c>
      <c r="J101" s="118">
        <f t="shared" si="13"/>
        <v>10.266694320690545</v>
      </c>
      <c r="K101" s="116">
        <f t="shared" si="17"/>
        <v>87561881.44</v>
      </c>
      <c r="L101" s="118"/>
    </row>
    <row r="102" spans="1:12" ht="12.75">
      <c r="A102" s="175" t="s">
        <v>404</v>
      </c>
      <c r="B102" s="118">
        <v>980000</v>
      </c>
      <c r="C102" s="118">
        <v>980000</v>
      </c>
      <c r="D102" s="118">
        <v>52347.41</v>
      </c>
      <c r="E102" s="118">
        <v>52347.41</v>
      </c>
      <c r="F102" s="118">
        <f t="shared" si="12"/>
        <v>0.011267701489113772</v>
      </c>
      <c r="G102" s="118">
        <f t="shared" si="16"/>
        <v>927652.59</v>
      </c>
      <c r="H102" s="118">
        <v>52347.41</v>
      </c>
      <c r="I102" s="118">
        <v>52347.41</v>
      </c>
      <c r="J102" s="118">
        <f t="shared" si="13"/>
        <v>0.035044176550016466</v>
      </c>
      <c r="K102" s="116">
        <f t="shared" si="17"/>
        <v>927652.59</v>
      </c>
      <c r="L102" s="118"/>
    </row>
    <row r="103" spans="1:12" ht="12.75">
      <c r="A103" s="175" t="s">
        <v>405</v>
      </c>
      <c r="B103" s="118">
        <v>3295000</v>
      </c>
      <c r="C103" s="118">
        <v>3572000</v>
      </c>
      <c r="D103" s="118">
        <v>1969544.12</v>
      </c>
      <c r="E103" s="118">
        <v>1969544.12</v>
      </c>
      <c r="F103" s="118">
        <f t="shared" si="12"/>
        <v>0.4239414178046109</v>
      </c>
      <c r="G103" s="118">
        <f t="shared" si="16"/>
        <v>1602455.88</v>
      </c>
      <c r="H103" s="118">
        <v>492345.13</v>
      </c>
      <c r="I103" s="118">
        <v>492345.13</v>
      </c>
      <c r="J103" s="118">
        <f t="shared" si="13"/>
        <v>0.32960235586174763</v>
      </c>
      <c r="K103" s="116">
        <f t="shared" si="17"/>
        <v>3079654.87</v>
      </c>
      <c r="L103" s="118"/>
    </row>
    <row r="104" spans="1:12" ht="12.75">
      <c r="A104" s="175" t="s">
        <v>623</v>
      </c>
      <c r="B104" s="118"/>
      <c r="C104" s="118"/>
      <c r="D104" s="118"/>
      <c r="E104" s="118"/>
      <c r="F104" s="118">
        <f t="shared" si="12"/>
        <v>0</v>
      </c>
      <c r="G104" s="118">
        <f t="shared" si="16"/>
        <v>0</v>
      </c>
      <c r="H104" s="118"/>
      <c r="I104" s="118"/>
      <c r="J104" s="118">
        <f t="shared" si="13"/>
        <v>0</v>
      </c>
      <c r="K104" s="116">
        <f t="shared" si="17"/>
        <v>0</v>
      </c>
      <c r="L104" s="118"/>
    </row>
    <row r="105" spans="1:12" ht="12.75">
      <c r="A105" s="175" t="s">
        <v>369</v>
      </c>
      <c r="B105" s="118"/>
      <c r="C105" s="118"/>
      <c r="D105" s="118"/>
      <c r="E105" s="118"/>
      <c r="F105" s="118">
        <f t="shared" si="12"/>
        <v>0</v>
      </c>
      <c r="G105" s="118">
        <f t="shared" si="16"/>
        <v>0</v>
      </c>
      <c r="H105" s="118"/>
      <c r="I105" s="118"/>
      <c r="J105" s="118">
        <f t="shared" si="13"/>
        <v>0</v>
      </c>
      <c r="K105" s="116">
        <f t="shared" si="17"/>
        <v>0</v>
      </c>
      <c r="L105" s="118"/>
    </row>
    <row r="106" spans="1:12" ht="12.75">
      <c r="A106" s="175" t="s">
        <v>363</v>
      </c>
      <c r="B106" s="118"/>
      <c r="C106" s="118"/>
      <c r="D106" s="118"/>
      <c r="E106" s="118"/>
      <c r="F106" s="118">
        <f t="shared" si="12"/>
        <v>0</v>
      </c>
      <c r="G106" s="118">
        <f t="shared" si="16"/>
        <v>0</v>
      </c>
      <c r="H106" s="118"/>
      <c r="I106" s="118"/>
      <c r="J106" s="118">
        <f t="shared" si="13"/>
        <v>0</v>
      </c>
      <c r="K106" s="116">
        <f t="shared" si="17"/>
        <v>0</v>
      </c>
      <c r="L106" s="118"/>
    </row>
    <row r="107" spans="1:12" ht="12.75">
      <c r="A107" s="174" t="s">
        <v>267</v>
      </c>
      <c r="B107" s="118">
        <f>SUM(B108:B111)</f>
        <v>11119900</v>
      </c>
      <c r="C107" s="118">
        <f>SUM(C108:C111)</f>
        <v>11458900</v>
      </c>
      <c r="D107" s="118">
        <f>SUM(D108:D111)</f>
        <v>2845654.64</v>
      </c>
      <c r="E107" s="118">
        <f>SUM(E108:E111)</f>
        <v>2845654.64</v>
      </c>
      <c r="F107" s="118">
        <f t="shared" si="12"/>
        <v>0.6125228931981833</v>
      </c>
      <c r="G107" s="118">
        <f>SUM(G108:G111)</f>
        <v>8613245.36</v>
      </c>
      <c r="H107" s="118">
        <f>SUM(H108:H111)</f>
        <v>1049488.98</v>
      </c>
      <c r="I107" s="118">
        <f>SUM(I108:I111)</f>
        <v>1049488.98</v>
      </c>
      <c r="J107" s="118">
        <f t="shared" si="13"/>
        <v>0.7025844660207009</v>
      </c>
      <c r="K107" s="116">
        <f>SUM(K108:K111)</f>
        <v>10409411.02</v>
      </c>
      <c r="L107" s="118">
        <f>SUM(L108:L111)</f>
        <v>0</v>
      </c>
    </row>
    <row r="108" spans="1:12" ht="12.75">
      <c r="A108" s="175" t="s">
        <v>406</v>
      </c>
      <c r="B108" s="118">
        <v>2562400</v>
      </c>
      <c r="C108" s="118">
        <v>2562400</v>
      </c>
      <c r="D108" s="118">
        <v>633126.42</v>
      </c>
      <c r="E108" s="118">
        <v>633126.42</v>
      </c>
      <c r="F108" s="118">
        <f t="shared" si="12"/>
        <v>0.1362795123088472</v>
      </c>
      <c r="G108" s="118">
        <f>C108-E108</f>
        <v>1929273.58</v>
      </c>
      <c r="H108" s="118">
        <v>336960.88</v>
      </c>
      <c r="I108" s="118">
        <v>336960.88</v>
      </c>
      <c r="J108" s="118">
        <f t="shared" si="13"/>
        <v>0.22557976734988247</v>
      </c>
      <c r="K108" s="116">
        <f>C108-I108</f>
        <v>2225439.12</v>
      </c>
      <c r="L108" s="118"/>
    </row>
    <row r="109" spans="1:12" ht="12.75">
      <c r="A109" s="175" t="s">
        <v>407</v>
      </c>
      <c r="B109" s="118">
        <v>8557500</v>
      </c>
      <c r="C109" s="118">
        <v>8896500</v>
      </c>
      <c r="D109" s="118">
        <v>2212528.22</v>
      </c>
      <c r="E109" s="118">
        <v>2212528.22</v>
      </c>
      <c r="F109" s="118">
        <f t="shared" si="12"/>
        <v>0.4762433808893361</v>
      </c>
      <c r="G109" s="118">
        <f>C109-E109</f>
        <v>6683971.779999999</v>
      </c>
      <c r="H109" s="118">
        <v>712528.1</v>
      </c>
      <c r="I109" s="118">
        <v>712528.1</v>
      </c>
      <c r="J109" s="118">
        <f t="shared" si="13"/>
        <v>0.4770046986708184</v>
      </c>
      <c r="K109" s="116">
        <f>C109-I109</f>
        <v>8183971.9</v>
      </c>
      <c r="L109" s="118"/>
    </row>
    <row r="110" spans="1:12" ht="12.75">
      <c r="A110" s="175" t="s">
        <v>369</v>
      </c>
      <c r="B110" s="118"/>
      <c r="C110" s="118"/>
      <c r="D110" s="118"/>
      <c r="E110" s="118"/>
      <c r="F110" s="118">
        <f t="shared" si="12"/>
        <v>0</v>
      </c>
      <c r="G110" s="118">
        <f>C110-E110</f>
        <v>0</v>
      </c>
      <c r="H110" s="118"/>
      <c r="I110" s="118"/>
      <c r="J110" s="118">
        <f t="shared" si="13"/>
        <v>0</v>
      </c>
      <c r="K110" s="116">
        <f>C110-I110</f>
        <v>0</v>
      </c>
      <c r="L110" s="118"/>
    </row>
    <row r="111" spans="1:12" ht="12.75">
      <c r="A111" s="175" t="s">
        <v>363</v>
      </c>
      <c r="B111" s="118"/>
      <c r="C111" s="118"/>
      <c r="D111" s="118"/>
      <c r="E111" s="118"/>
      <c r="F111" s="118">
        <f t="shared" si="12"/>
        <v>0</v>
      </c>
      <c r="G111" s="118">
        <f>C111-E111</f>
        <v>0</v>
      </c>
      <c r="H111" s="118"/>
      <c r="I111" s="118"/>
      <c r="J111" s="118">
        <f t="shared" si="13"/>
        <v>0</v>
      </c>
      <c r="K111" s="116">
        <f>C111-I111</f>
        <v>0</v>
      </c>
      <c r="L111" s="118"/>
    </row>
    <row r="112" spans="1:12" ht="12.75">
      <c r="A112" s="174" t="s">
        <v>268</v>
      </c>
      <c r="B112" s="118">
        <f>SUM(B113:B117)</f>
        <v>0</v>
      </c>
      <c r="C112" s="118">
        <f>SUM(C113:C117)</f>
        <v>0</v>
      </c>
      <c r="D112" s="118">
        <f>SUM(D113:D117)</f>
        <v>0</v>
      </c>
      <c r="E112" s="118">
        <f>SUM(E113:E117)</f>
        <v>0</v>
      </c>
      <c r="F112" s="118">
        <f t="shared" si="12"/>
        <v>0</v>
      </c>
      <c r="G112" s="118">
        <f>SUM(G113:G117)</f>
        <v>0</v>
      </c>
      <c r="H112" s="118">
        <f>SUM(H113:H117)</f>
        <v>0</v>
      </c>
      <c r="I112" s="118">
        <f>SUM(I113:I117)</f>
        <v>0</v>
      </c>
      <c r="J112" s="118">
        <f t="shared" si="13"/>
        <v>0</v>
      </c>
      <c r="K112" s="116">
        <f>SUM(K113:K117)</f>
        <v>0</v>
      </c>
      <c r="L112" s="118">
        <f>SUM(L113:L117)</f>
        <v>0</v>
      </c>
    </row>
    <row r="113" spans="1:12" ht="12.75">
      <c r="A113" s="175" t="s">
        <v>408</v>
      </c>
      <c r="B113" s="118"/>
      <c r="C113" s="118"/>
      <c r="D113" s="118"/>
      <c r="E113" s="118"/>
      <c r="F113" s="118">
        <f t="shared" si="12"/>
        <v>0</v>
      </c>
      <c r="G113" s="118">
        <f>C113-E113</f>
        <v>0</v>
      </c>
      <c r="H113" s="118"/>
      <c r="I113" s="118"/>
      <c r="J113" s="118">
        <f t="shared" si="13"/>
        <v>0</v>
      </c>
      <c r="K113" s="116">
        <f>C113-I113</f>
        <v>0</v>
      </c>
      <c r="L113" s="118"/>
    </row>
    <row r="114" spans="1:12" ht="12.75">
      <c r="A114" s="175" t="s">
        <v>409</v>
      </c>
      <c r="B114" s="118"/>
      <c r="C114" s="118"/>
      <c r="D114" s="118"/>
      <c r="E114" s="118"/>
      <c r="F114" s="118">
        <f t="shared" si="12"/>
        <v>0</v>
      </c>
      <c r="G114" s="118">
        <f>C114-E114</f>
        <v>0</v>
      </c>
      <c r="H114" s="118"/>
      <c r="I114" s="118"/>
      <c r="J114" s="118">
        <f t="shared" si="13"/>
        <v>0</v>
      </c>
      <c r="K114" s="116">
        <f>C114-I114</f>
        <v>0</v>
      </c>
      <c r="L114" s="118"/>
    </row>
    <row r="115" spans="1:12" ht="12.75">
      <c r="A115" s="175" t="s">
        <v>410</v>
      </c>
      <c r="B115" s="118"/>
      <c r="C115" s="118"/>
      <c r="D115" s="118"/>
      <c r="E115" s="118"/>
      <c r="F115" s="118">
        <f t="shared" si="12"/>
        <v>0</v>
      </c>
      <c r="G115" s="118">
        <f>C115-E115</f>
        <v>0</v>
      </c>
      <c r="H115" s="118"/>
      <c r="I115" s="118"/>
      <c r="J115" s="118">
        <f t="shared" si="13"/>
        <v>0</v>
      </c>
      <c r="K115" s="116">
        <f>C115-I115</f>
        <v>0</v>
      </c>
      <c r="L115" s="118"/>
    </row>
    <row r="116" spans="1:12" ht="12.75">
      <c r="A116" s="175" t="s">
        <v>369</v>
      </c>
      <c r="B116" s="118"/>
      <c r="C116" s="118"/>
      <c r="D116" s="118"/>
      <c r="E116" s="118"/>
      <c r="F116" s="118">
        <f aca="true" t="shared" si="18" ref="F116:F147">IF($E$214&gt;0,E116/$E$214,0)*100</f>
        <v>0</v>
      </c>
      <c r="G116" s="118">
        <f>C116-E116</f>
        <v>0</v>
      </c>
      <c r="H116" s="118"/>
      <c r="I116" s="118"/>
      <c r="J116" s="118">
        <f aca="true" t="shared" si="19" ref="J116:J147">IF($I$214&gt;0,I116/$I$214,0)*100</f>
        <v>0</v>
      </c>
      <c r="K116" s="116">
        <f>C116-I116</f>
        <v>0</v>
      </c>
      <c r="L116" s="118"/>
    </row>
    <row r="117" spans="1:12" ht="12.75">
      <c r="A117" s="175" t="s">
        <v>363</v>
      </c>
      <c r="B117" s="118"/>
      <c r="C117" s="118"/>
      <c r="D117" s="118"/>
      <c r="E117" s="118"/>
      <c r="F117" s="118">
        <f t="shared" si="18"/>
        <v>0</v>
      </c>
      <c r="G117" s="118">
        <f>C117-E117</f>
        <v>0</v>
      </c>
      <c r="H117" s="118"/>
      <c r="I117" s="118"/>
      <c r="J117" s="118">
        <f t="shared" si="19"/>
        <v>0</v>
      </c>
      <c r="K117" s="116">
        <f>C117-I117</f>
        <v>0</v>
      </c>
      <c r="L117" s="118"/>
    </row>
    <row r="118" spans="1:12" ht="12.75">
      <c r="A118" s="174" t="s">
        <v>269</v>
      </c>
      <c r="B118" s="118">
        <f>SUM(B119:B123)</f>
        <v>130172000</v>
      </c>
      <c r="C118" s="118">
        <f>SUM(C119:C123)</f>
        <v>130353000</v>
      </c>
      <c r="D118" s="118">
        <f>SUM(D119:D123)</f>
        <v>90338798.71000001</v>
      </c>
      <c r="E118" s="118">
        <f>SUM(E119:E123)</f>
        <v>90338798.71000001</v>
      </c>
      <c r="F118" s="118">
        <f t="shared" si="18"/>
        <v>19.445290927467397</v>
      </c>
      <c r="G118" s="118">
        <f>SUM(G119:G123)</f>
        <v>40014201.28999999</v>
      </c>
      <c r="H118" s="118">
        <f>SUM(H119:H123)</f>
        <v>15791040.46</v>
      </c>
      <c r="I118" s="118">
        <f>SUM(I119:I123)</f>
        <v>15791040.46</v>
      </c>
      <c r="J118" s="118">
        <f t="shared" si="19"/>
        <v>10.57137325015112</v>
      </c>
      <c r="K118" s="116">
        <f>SUM(K119:K123)</f>
        <v>114561959.53999999</v>
      </c>
      <c r="L118" s="118">
        <f>SUM(L119:L123)</f>
        <v>0</v>
      </c>
    </row>
    <row r="119" spans="1:12" ht="12.75">
      <c r="A119" s="175" t="s">
        <v>411</v>
      </c>
      <c r="B119" s="118">
        <v>21875000</v>
      </c>
      <c r="C119" s="118">
        <v>22056000</v>
      </c>
      <c r="D119" s="118">
        <v>6851464.73</v>
      </c>
      <c r="E119" s="118">
        <v>6851464.73</v>
      </c>
      <c r="F119" s="118">
        <f t="shared" si="18"/>
        <v>1.4747675069469814</v>
      </c>
      <c r="G119" s="118">
        <f>C119-E119</f>
        <v>15204535.27</v>
      </c>
      <c r="H119" s="118">
        <v>4452957.2</v>
      </c>
      <c r="I119" s="118">
        <v>4452957.2</v>
      </c>
      <c r="J119" s="118">
        <f t="shared" si="19"/>
        <v>2.9810494594950727</v>
      </c>
      <c r="K119" s="116">
        <f>C119-I119</f>
        <v>17603042.8</v>
      </c>
      <c r="L119" s="118"/>
    </row>
    <row r="120" spans="1:12" ht="12.75">
      <c r="A120" s="175" t="s">
        <v>412</v>
      </c>
      <c r="B120" s="118">
        <v>104697000</v>
      </c>
      <c r="C120" s="118">
        <v>104697000</v>
      </c>
      <c r="D120" s="118">
        <v>79887333.98</v>
      </c>
      <c r="E120" s="118">
        <v>79887333.98</v>
      </c>
      <c r="F120" s="118">
        <f t="shared" si="18"/>
        <v>17.1956288199889</v>
      </c>
      <c r="G120" s="118">
        <f>C120-E120</f>
        <v>24809666.019999996</v>
      </c>
      <c r="H120" s="118">
        <v>10278243.26</v>
      </c>
      <c r="I120" s="118">
        <v>10278243.26</v>
      </c>
      <c r="J120" s="118">
        <f t="shared" si="19"/>
        <v>6.880809794170462</v>
      </c>
      <c r="K120" s="116">
        <f>C120-I120</f>
        <v>94418756.74</v>
      </c>
      <c r="L120" s="118"/>
    </row>
    <row r="121" spans="1:12" ht="12.75">
      <c r="A121" s="175" t="s">
        <v>413</v>
      </c>
      <c r="B121" s="118">
        <v>3600000</v>
      </c>
      <c r="C121" s="118">
        <v>3600000</v>
      </c>
      <c r="D121" s="118">
        <v>3600000</v>
      </c>
      <c r="E121" s="118">
        <v>3600000</v>
      </c>
      <c r="F121" s="118">
        <f t="shared" si="18"/>
        <v>0.7748946005315177</v>
      </c>
      <c r="G121" s="118">
        <f>C121-E121</f>
        <v>0</v>
      </c>
      <c r="H121" s="118">
        <v>1059840</v>
      </c>
      <c r="I121" s="118">
        <v>1059840</v>
      </c>
      <c r="J121" s="118">
        <f t="shared" si="19"/>
        <v>0.7095139964855844</v>
      </c>
      <c r="K121" s="116">
        <f>C121-I121</f>
        <v>2540160</v>
      </c>
      <c r="L121" s="118"/>
    </row>
    <row r="122" spans="1:12" ht="12.75">
      <c r="A122" s="175" t="s">
        <v>369</v>
      </c>
      <c r="B122" s="118"/>
      <c r="C122" s="118"/>
      <c r="D122" s="118"/>
      <c r="E122" s="118"/>
      <c r="F122" s="118">
        <f t="shared" si="18"/>
        <v>0</v>
      </c>
      <c r="G122" s="118">
        <f>C122-E122</f>
        <v>0</v>
      </c>
      <c r="H122" s="118"/>
      <c r="I122" s="118"/>
      <c r="J122" s="118">
        <f t="shared" si="19"/>
        <v>0</v>
      </c>
      <c r="K122" s="116">
        <f>C122-I122</f>
        <v>0</v>
      </c>
      <c r="L122" s="118"/>
    </row>
    <row r="123" spans="1:12" ht="12.75">
      <c r="A123" s="175" t="s">
        <v>363</v>
      </c>
      <c r="B123" s="118"/>
      <c r="C123" s="118"/>
      <c r="D123" s="118"/>
      <c r="E123" s="118"/>
      <c r="F123" s="118">
        <f t="shared" si="18"/>
        <v>0</v>
      </c>
      <c r="G123" s="118">
        <f>C123-E123</f>
        <v>0</v>
      </c>
      <c r="H123" s="118"/>
      <c r="I123" s="118"/>
      <c r="J123" s="118">
        <f t="shared" si="19"/>
        <v>0</v>
      </c>
      <c r="K123" s="116">
        <f>C123-I123</f>
        <v>0</v>
      </c>
      <c r="L123" s="118"/>
    </row>
    <row r="124" spans="1:12" ht="12.75">
      <c r="A124" s="174" t="s">
        <v>270</v>
      </c>
      <c r="B124" s="118">
        <f>SUM(B125:B128)</f>
        <v>2168000</v>
      </c>
      <c r="C124" s="118">
        <f>SUM(C125:C128)</f>
        <v>6303572.69</v>
      </c>
      <c r="D124" s="118">
        <f>SUM(D125:D128)</f>
        <v>3324631.18</v>
      </c>
      <c r="E124" s="118">
        <f>SUM(E125:E128)</f>
        <v>3324631.18</v>
      </c>
      <c r="F124" s="118">
        <f t="shared" si="18"/>
        <v>0.7156218750390911</v>
      </c>
      <c r="G124" s="118">
        <f>SUM(G125:G128)</f>
        <v>2978941.5100000002</v>
      </c>
      <c r="H124" s="118">
        <f>SUM(H125:H128)</f>
        <v>357738.76</v>
      </c>
      <c r="I124" s="118">
        <f>SUM(I125:I128)</f>
        <v>357738.76</v>
      </c>
      <c r="J124" s="118">
        <f t="shared" si="19"/>
        <v>0.23948959966164454</v>
      </c>
      <c r="K124" s="116">
        <f>SUM(K125:K128)</f>
        <v>5945833.930000001</v>
      </c>
      <c r="L124" s="118">
        <f>SUM(L125:L128)</f>
        <v>0</v>
      </c>
    </row>
    <row r="125" spans="1:12" ht="12.75">
      <c r="A125" s="175" t="s">
        <v>414</v>
      </c>
      <c r="B125" s="118"/>
      <c r="C125" s="118"/>
      <c r="D125" s="118"/>
      <c r="E125" s="118"/>
      <c r="F125" s="118">
        <f t="shared" si="18"/>
        <v>0</v>
      </c>
      <c r="G125" s="118">
        <f>C125-E125</f>
        <v>0</v>
      </c>
      <c r="H125" s="118"/>
      <c r="I125" s="118"/>
      <c r="J125" s="118">
        <f t="shared" si="19"/>
        <v>0</v>
      </c>
      <c r="K125" s="116">
        <f>C125-I125</f>
        <v>0</v>
      </c>
      <c r="L125" s="118"/>
    </row>
    <row r="126" spans="1:12" ht="12.75">
      <c r="A126" s="175" t="s">
        <v>415</v>
      </c>
      <c r="B126" s="118">
        <v>2168000</v>
      </c>
      <c r="C126" s="118">
        <v>6303572.69</v>
      </c>
      <c r="D126" s="118">
        <v>3324631.18</v>
      </c>
      <c r="E126" s="118">
        <v>3324631.18</v>
      </c>
      <c r="F126" s="118">
        <f t="shared" si="18"/>
        <v>0.7156218750390911</v>
      </c>
      <c r="G126" s="118">
        <f>C126-E126</f>
        <v>2978941.5100000002</v>
      </c>
      <c r="H126" s="118">
        <v>357738.76</v>
      </c>
      <c r="I126" s="118">
        <v>357738.76</v>
      </c>
      <c r="J126" s="118">
        <f t="shared" si="19"/>
        <v>0.23948959966164454</v>
      </c>
      <c r="K126" s="116">
        <f>C126-I126</f>
        <v>5945833.930000001</v>
      </c>
      <c r="L126" s="118"/>
    </row>
    <row r="127" spans="1:12" ht="12.75">
      <c r="A127" s="175" t="s">
        <v>369</v>
      </c>
      <c r="B127" s="118"/>
      <c r="C127" s="118"/>
      <c r="D127" s="118"/>
      <c r="E127" s="118"/>
      <c r="F127" s="118">
        <f t="shared" si="18"/>
        <v>0</v>
      </c>
      <c r="G127" s="118">
        <f>C127-E127</f>
        <v>0</v>
      </c>
      <c r="H127" s="118"/>
      <c r="I127" s="118"/>
      <c r="J127" s="118">
        <f t="shared" si="19"/>
        <v>0</v>
      </c>
      <c r="K127" s="116">
        <f>C127-I127</f>
        <v>0</v>
      </c>
      <c r="L127" s="118"/>
    </row>
    <row r="128" spans="1:12" ht="12.75">
      <c r="A128" s="175" t="s">
        <v>363</v>
      </c>
      <c r="B128" s="118"/>
      <c r="C128" s="118"/>
      <c r="D128" s="118"/>
      <c r="E128" s="118"/>
      <c r="F128" s="118">
        <f t="shared" si="18"/>
        <v>0</v>
      </c>
      <c r="G128" s="118">
        <f>C128-E128</f>
        <v>0</v>
      </c>
      <c r="H128" s="118"/>
      <c r="I128" s="118"/>
      <c r="J128" s="118">
        <f t="shared" si="19"/>
        <v>0</v>
      </c>
      <c r="K128" s="116">
        <f>C128-I128</f>
        <v>0</v>
      </c>
      <c r="L128" s="118"/>
    </row>
    <row r="129" spans="1:12" ht="12.75">
      <c r="A129" s="174" t="s">
        <v>271</v>
      </c>
      <c r="B129" s="118">
        <f>SUM(B130:B133)</f>
        <v>110192000</v>
      </c>
      <c r="C129" s="118">
        <f>SUM(C130:C133)</f>
        <v>112992000</v>
      </c>
      <c r="D129" s="118">
        <f>SUM(D130:D133)</f>
        <v>40004267.88</v>
      </c>
      <c r="E129" s="118">
        <f>SUM(E130:E133)</f>
        <v>40004267.88</v>
      </c>
      <c r="F129" s="118">
        <f t="shared" si="18"/>
        <v>8.610858660674563</v>
      </c>
      <c r="G129" s="118">
        <f>SUM(G130:G133)</f>
        <v>72987732.12</v>
      </c>
      <c r="H129" s="118">
        <f>SUM(H130:H133)</f>
        <v>9451021.92</v>
      </c>
      <c r="I129" s="118">
        <f>SUM(I130:I133)</f>
        <v>9451021.92</v>
      </c>
      <c r="J129" s="118">
        <f t="shared" si="19"/>
        <v>6.327023261371585</v>
      </c>
      <c r="K129" s="116">
        <f>SUM(K130:K133)</f>
        <v>103540978.08</v>
      </c>
      <c r="L129" s="118">
        <f>SUM(L130:L133)</f>
        <v>0</v>
      </c>
    </row>
    <row r="130" spans="1:12" ht="12.75">
      <c r="A130" s="175" t="s">
        <v>416</v>
      </c>
      <c r="B130" s="118"/>
      <c r="C130" s="118"/>
      <c r="D130" s="118"/>
      <c r="E130" s="118"/>
      <c r="F130" s="118">
        <f t="shared" si="18"/>
        <v>0</v>
      </c>
      <c r="G130" s="118">
        <f>C130-E130</f>
        <v>0</v>
      </c>
      <c r="H130" s="118"/>
      <c r="I130" s="118"/>
      <c r="J130" s="118">
        <f t="shared" si="19"/>
        <v>0</v>
      </c>
      <c r="K130" s="116">
        <f>C130-I130</f>
        <v>0</v>
      </c>
      <c r="L130" s="118"/>
    </row>
    <row r="131" spans="1:12" ht="12.75">
      <c r="A131" s="175" t="s">
        <v>417</v>
      </c>
      <c r="B131" s="118">
        <v>110192000</v>
      </c>
      <c r="C131" s="118">
        <v>112992000</v>
      </c>
      <c r="D131" s="118">
        <v>40004267.88</v>
      </c>
      <c r="E131" s="118">
        <v>40004267.88</v>
      </c>
      <c r="F131" s="118">
        <f t="shared" si="18"/>
        <v>8.610858660674563</v>
      </c>
      <c r="G131" s="118">
        <f>C131-E131</f>
        <v>72987732.12</v>
      </c>
      <c r="H131" s="118">
        <v>9451021.92</v>
      </c>
      <c r="I131" s="118">
        <v>9451021.92</v>
      </c>
      <c r="J131" s="118">
        <f t="shared" si="19"/>
        <v>6.327023261371585</v>
      </c>
      <c r="K131" s="116">
        <f>C131-I131</f>
        <v>103540978.08</v>
      </c>
      <c r="L131" s="118"/>
    </row>
    <row r="132" spans="1:12" ht="12.75">
      <c r="A132" s="175" t="s">
        <v>369</v>
      </c>
      <c r="B132" s="118"/>
      <c r="C132" s="118"/>
      <c r="D132" s="118"/>
      <c r="E132" s="118"/>
      <c r="F132" s="118">
        <f t="shared" si="18"/>
        <v>0</v>
      </c>
      <c r="G132" s="118">
        <f>C132-E132</f>
        <v>0</v>
      </c>
      <c r="H132" s="118"/>
      <c r="I132" s="118"/>
      <c r="J132" s="118">
        <f t="shared" si="19"/>
        <v>0</v>
      </c>
      <c r="K132" s="116">
        <f>C132-I132</f>
        <v>0</v>
      </c>
      <c r="L132" s="118"/>
    </row>
    <row r="133" spans="1:12" ht="12.75">
      <c r="A133" s="175" t="s">
        <v>363</v>
      </c>
      <c r="B133" s="118"/>
      <c r="C133" s="118"/>
      <c r="D133" s="118"/>
      <c r="E133" s="118"/>
      <c r="F133" s="118">
        <f t="shared" si="18"/>
        <v>0</v>
      </c>
      <c r="G133" s="118">
        <f>C133-E133</f>
        <v>0</v>
      </c>
      <c r="H133" s="118"/>
      <c r="I133" s="118"/>
      <c r="J133" s="118">
        <f t="shared" si="19"/>
        <v>0</v>
      </c>
      <c r="K133" s="116">
        <f>C133-I133</f>
        <v>0</v>
      </c>
      <c r="L133" s="118"/>
    </row>
    <row r="134" spans="1:12" ht="12.75">
      <c r="A134" s="174" t="s">
        <v>272</v>
      </c>
      <c r="B134" s="118">
        <f>SUM(B135:B141)</f>
        <v>1066000</v>
      </c>
      <c r="C134" s="118">
        <f>SUM(C135:C141)</f>
        <v>1066000</v>
      </c>
      <c r="D134" s="118">
        <f>SUM(D135:D141)</f>
        <v>657157</v>
      </c>
      <c r="E134" s="118">
        <f>SUM(E135:E141)</f>
        <v>657157</v>
      </c>
      <c r="F134" s="118">
        <f t="shared" si="18"/>
        <v>0.14145205861152516</v>
      </c>
      <c r="G134" s="118">
        <f>SUM(G135:G141)</f>
        <v>408843</v>
      </c>
      <c r="H134" s="118">
        <f>SUM(H135:H141)</f>
        <v>27486</v>
      </c>
      <c r="I134" s="118">
        <f>SUM(I135:I141)</f>
        <v>27486</v>
      </c>
      <c r="J134" s="118">
        <f t="shared" si="19"/>
        <v>0.018400609249889392</v>
      </c>
      <c r="K134" s="116">
        <f>SUM(K135:K141)</f>
        <v>1038514</v>
      </c>
      <c r="L134" s="118">
        <f>SUM(L135:L141)</f>
        <v>0</v>
      </c>
    </row>
    <row r="135" spans="1:12" ht="12.75">
      <c r="A135" s="175" t="s">
        <v>418</v>
      </c>
      <c r="B135" s="118">
        <v>340000</v>
      </c>
      <c r="C135" s="118">
        <v>340000</v>
      </c>
      <c r="D135" s="118">
        <v>16000</v>
      </c>
      <c r="E135" s="118">
        <v>16000</v>
      </c>
      <c r="F135" s="118">
        <f t="shared" si="18"/>
        <v>0.003443976002362301</v>
      </c>
      <c r="G135" s="118">
        <f aca="true" t="shared" si="20" ref="G135:G141">C135-E135</f>
        <v>324000</v>
      </c>
      <c r="H135" s="118">
        <v>0</v>
      </c>
      <c r="I135" s="118">
        <v>0</v>
      </c>
      <c r="J135" s="118">
        <f t="shared" si="19"/>
        <v>0</v>
      </c>
      <c r="K135" s="116">
        <f aca="true" t="shared" si="21" ref="K135:K141">C135-I135</f>
        <v>340000</v>
      </c>
      <c r="L135" s="118"/>
    </row>
    <row r="136" spans="1:12" ht="12.75">
      <c r="A136" s="175" t="s">
        <v>419</v>
      </c>
      <c r="B136" s="118"/>
      <c r="C136" s="118"/>
      <c r="D136" s="118"/>
      <c r="E136" s="118"/>
      <c r="F136" s="118">
        <f t="shared" si="18"/>
        <v>0</v>
      </c>
      <c r="G136" s="118">
        <f t="shared" si="20"/>
        <v>0</v>
      </c>
      <c r="H136" s="118"/>
      <c r="I136" s="118"/>
      <c r="J136" s="118">
        <f t="shared" si="19"/>
        <v>0</v>
      </c>
      <c r="K136" s="116">
        <f t="shared" si="21"/>
        <v>0</v>
      </c>
      <c r="L136" s="118"/>
    </row>
    <row r="137" spans="1:12" ht="12.75">
      <c r="A137" s="175" t="s">
        <v>420</v>
      </c>
      <c r="B137" s="118"/>
      <c r="C137" s="118"/>
      <c r="D137" s="118"/>
      <c r="E137" s="118"/>
      <c r="F137" s="118">
        <f t="shared" si="18"/>
        <v>0</v>
      </c>
      <c r="G137" s="118">
        <f t="shared" si="20"/>
        <v>0</v>
      </c>
      <c r="H137" s="118"/>
      <c r="I137" s="118"/>
      <c r="J137" s="118">
        <f t="shared" si="19"/>
        <v>0</v>
      </c>
      <c r="K137" s="116">
        <f t="shared" si="21"/>
        <v>0</v>
      </c>
      <c r="L137" s="118"/>
    </row>
    <row r="138" spans="1:12" ht="12.75">
      <c r="A138" s="175" t="s">
        <v>421</v>
      </c>
      <c r="B138" s="118">
        <v>726000</v>
      </c>
      <c r="C138" s="118">
        <v>726000</v>
      </c>
      <c r="D138" s="118">
        <v>641157</v>
      </c>
      <c r="E138" s="118">
        <v>641157</v>
      </c>
      <c r="F138" s="118">
        <f t="shared" si="18"/>
        <v>0.13800808260916286</v>
      </c>
      <c r="G138" s="118">
        <f t="shared" si="20"/>
        <v>84843</v>
      </c>
      <c r="H138" s="118">
        <v>27486</v>
      </c>
      <c r="I138" s="118">
        <v>27486</v>
      </c>
      <c r="J138" s="118">
        <f t="shared" si="19"/>
        <v>0.018400609249889392</v>
      </c>
      <c r="K138" s="116">
        <f t="shared" si="21"/>
        <v>698514</v>
      </c>
      <c r="L138" s="118"/>
    </row>
    <row r="139" spans="1:12" ht="12.75">
      <c r="A139" s="175" t="s">
        <v>422</v>
      </c>
      <c r="B139" s="118"/>
      <c r="C139" s="118"/>
      <c r="D139" s="118"/>
      <c r="E139" s="118"/>
      <c r="F139" s="118">
        <f t="shared" si="18"/>
        <v>0</v>
      </c>
      <c r="G139" s="118">
        <f t="shared" si="20"/>
        <v>0</v>
      </c>
      <c r="H139" s="118"/>
      <c r="I139" s="118"/>
      <c r="J139" s="118">
        <f t="shared" si="19"/>
        <v>0</v>
      </c>
      <c r="K139" s="116">
        <f t="shared" si="21"/>
        <v>0</v>
      </c>
      <c r="L139" s="118"/>
    </row>
    <row r="140" spans="1:12" ht="12.75">
      <c r="A140" s="175" t="s">
        <v>369</v>
      </c>
      <c r="B140" s="118"/>
      <c r="C140" s="118"/>
      <c r="D140" s="118"/>
      <c r="E140" s="118"/>
      <c r="F140" s="118">
        <f t="shared" si="18"/>
        <v>0</v>
      </c>
      <c r="G140" s="118">
        <f t="shared" si="20"/>
        <v>0</v>
      </c>
      <c r="H140" s="118"/>
      <c r="I140" s="118"/>
      <c r="J140" s="118">
        <f t="shared" si="19"/>
        <v>0</v>
      </c>
      <c r="K140" s="116">
        <f t="shared" si="21"/>
        <v>0</v>
      </c>
      <c r="L140" s="118"/>
    </row>
    <row r="141" spans="1:12" ht="12.75">
      <c r="A141" s="175" t="s">
        <v>363</v>
      </c>
      <c r="B141" s="118"/>
      <c r="C141" s="118"/>
      <c r="D141" s="118"/>
      <c r="E141" s="118"/>
      <c r="F141" s="118">
        <f t="shared" si="18"/>
        <v>0</v>
      </c>
      <c r="G141" s="118">
        <f t="shared" si="20"/>
        <v>0</v>
      </c>
      <c r="H141" s="118"/>
      <c r="I141" s="118"/>
      <c r="J141" s="118">
        <f t="shared" si="19"/>
        <v>0</v>
      </c>
      <c r="K141" s="116">
        <f t="shared" si="21"/>
        <v>0</v>
      </c>
      <c r="L141" s="118"/>
    </row>
    <row r="142" spans="1:12" ht="12.75">
      <c r="A142" s="174" t="s">
        <v>273</v>
      </c>
      <c r="B142" s="118">
        <f>SUM(B143:B147)</f>
        <v>0</v>
      </c>
      <c r="C142" s="118">
        <f>SUM(C143:C147)</f>
        <v>0</v>
      </c>
      <c r="D142" s="118">
        <f>SUM(D143:D147)</f>
        <v>0</v>
      </c>
      <c r="E142" s="118">
        <f>SUM(E143:E147)</f>
        <v>0</v>
      </c>
      <c r="F142" s="118">
        <f t="shared" si="18"/>
        <v>0</v>
      </c>
      <c r="G142" s="118">
        <f>SUM(G143:G147)</f>
        <v>0</v>
      </c>
      <c r="H142" s="118">
        <f>SUM(H143:H147)</f>
        <v>0</v>
      </c>
      <c r="I142" s="118">
        <f>SUM(I143:I147)</f>
        <v>0</v>
      </c>
      <c r="J142" s="118">
        <f t="shared" si="19"/>
        <v>0</v>
      </c>
      <c r="K142" s="116">
        <f>SUM(K143:K147)</f>
        <v>0</v>
      </c>
      <c r="L142" s="118">
        <f>SUM(L143:L147)</f>
        <v>0</v>
      </c>
    </row>
    <row r="143" spans="1:12" ht="12.75">
      <c r="A143" s="175" t="s">
        <v>423</v>
      </c>
      <c r="B143" s="118"/>
      <c r="C143" s="118"/>
      <c r="D143" s="118"/>
      <c r="E143" s="118"/>
      <c r="F143" s="118">
        <f t="shared" si="18"/>
        <v>0</v>
      </c>
      <c r="G143" s="118">
        <f>C143-E143</f>
        <v>0</v>
      </c>
      <c r="H143" s="118"/>
      <c r="I143" s="118"/>
      <c r="J143" s="118">
        <f t="shared" si="19"/>
        <v>0</v>
      </c>
      <c r="K143" s="116">
        <f>C143-I143</f>
        <v>0</v>
      </c>
      <c r="L143" s="118"/>
    </row>
    <row r="144" spans="1:12" ht="12.75">
      <c r="A144" s="175" t="s">
        <v>424</v>
      </c>
      <c r="B144" s="118"/>
      <c r="C144" s="118"/>
      <c r="D144" s="118"/>
      <c r="E144" s="118"/>
      <c r="F144" s="118">
        <f t="shared" si="18"/>
        <v>0</v>
      </c>
      <c r="G144" s="118">
        <f>C144-E144</f>
        <v>0</v>
      </c>
      <c r="H144" s="118"/>
      <c r="I144" s="118"/>
      <c r="J144" s="118">
        <f t="shared" si="19"/>
        <v>0</v>
      </c>
      <c r="K144" s="116">
        <f>C144-I144</f>
        <v>0</v>
      </c>
      <c r="L144" s="118"/>
    </row>
    <row r="145" spans="1:12" ht="12.75">
      <c r="A145" s="175" t="s">
        <v>425</v>
      </c>
      <c r="B145" s="118"/>
      <c r="C145" s="118"/>
      <c r="D145" s="118"/>
      <c r="E145" s="118"/>
      <c r="F145" s="118">
        <f t="shared" si="18"/>
        <v>0</v>
      </c>
      <c r="G145" s="118">
        <f>C145-E145</f>
        <v>0</v>
      </c>
      <c r="H145" s="118"/>
      <c r="I145" s="118"/>
      <c r="J145" s="118">
        <f t="shared" si="19"/>
        <v>0</v>
      </c>
      <c r="K145" s="116">
        <f>C145-I145</f>
        <v>0</v>
      </c>
      <c r="L145" s="118"/>
    </row>
    <row r="146" spans="1:12" ht="12.75">
      <c r="A146" s="175" t="s">
        <v>369</v>
      </c>
      <c r="B146" s="118"/>
      <c r="C146" s="118"/>
      <c r="D146" s="118"/>
      <c r="E146" s="118"/>
      <c r="F146" s="118">
        <f t="shared" si="18"/>
        <v>0</v>
      </c>
      <c r="G146" s="118">
        <f>C146-E146</f>
        <v>0</v>
      </c>
      <c r="H146" s="118"/>
      <c r="I146" s="118"/>
      <c r="J146" s="118">
        <f t="shared" si="19"/>
        <v>0</v>
      </c>
      <c r="K146" s="116">
        <f>C146-I146</f>
        <v>0</v>
      </c>
      <c r="L146" s="118"/>
    </row>
    <row r="147" spans="1:12" ht="12.75">
      <c r="A147" s="175" t="s">
        <v>363</v>
      </c>
      <c r="B147" s="118"/>
      <c r="C147" s="118"/>
      <c r="D147" s="118"/>
      <c r="E147" s="118"/>
      <c r="F147" s="118">
        <f t="shared" si="18"/>
        <v>0</v>
      </c>
      <c r="G147" s="118">
        <f>C147-E147</f>
        <v>0</v>
      </c>
      <c r="H147" s="118"/>
      <c r="I147" s="118"/>
      <c r="J147" s="118">
        <f t="shared" si="19"/>
        <v>0</v>
      </c>
      <c r="K147" s="116">
        <f>C147-I147</f>
        <v>0</v>
      </c>
      <c r="L147" s="118"/>
    </row>
    <row r="148" spans="1:12" ht="12.75">
      <c r="A148" s="174" t="s">
        <v>274</v>
      </c>
      <c r="B148" s="118">
        <f>SUM(B149:B155)</f>
        <v>0</v>
      </c>
      <c r="C148" s="118">
        <f>SUM(C149:C155)</f>
        <v>0</v>
      </c>
      <c r="D148" s="118">
        <f>SUM(D149:D155)</f>
        <v>0</v>
      </c>
      <c r="E148" s="118">
        <f>SUM(E149:E155)</f>
        <v>0</v>
      </c>
      <c r="F148" s="118">
        <f aca="true" t="shared" si="22" ref="F148:F179">IF($E$214&gt;0,E148/$E$214,0)*100</f>
        <v>0</v>
      </c>
      <c r="G148" s="118">
        <f>SUM(G149:G155)</f>
        <v>0</v>
      </c>
      <c r="H148" s="118">
        <f>SUM(H149:H155)</f>
        <v>0</v>
      </c>
      <c r="I148" s="118">
        <f>SUM(I149:I155)</f>
        <v>0</v>
      </c>
      <c r="J148" s="118">
        <f aca="true" t="shared" si="23" ref="J148:J179">IF($I$214&gt;0,I148/$I$214,0)*100</f>
        <v>0</v>
      </c>
      <c r="K148" s="116">
        <f>SUM(K149:K155)</f>
        <v>0</v>
      </c>
      <c r="L148" s="118">
        <f>SUM(L149:L155)</f>
        <v>0</v>
      </c>
    </row>
    <row r="149" spans="1:12" ht="12.75">
      <c r="A149" s="175" t="s">
        <v>426</v>
      </c>
      <c r="B149" s="118"/>
      <c r="C149" s="118"/>
      <c r="D149" s="118"/>
      <c r="E149" s="118"/>
      <c r="F149" s="118">
        <f t="shared" si="22"/>
        <v>0</v>
      </c>
      <c r="G149" s="118">
        <f aca="true" t="shared" si="24" ref="G149:G155">C149-E149</f>
        <v>0</v>
      </c>
      <c r="H149" s="118"/>
      <c r="I149" s="118"/>
      <c r="J149" s="118">
        <f t="shared" si="23"/>
        <v>0</v>
      </c>
      <c r="K149" s="116">
        <f aca="true" t="shared" si="25" ref="K149:K155">C149-I149</f>
        <v>0</v>
      </c>
      <c r="L149" s="118"/>
    </row>
    <row r="150" spans="1:12" ht="12.75">
      <c r="A150" s="175" t="s">
        <v>427</v>
      </c>
      <c r="B150" s="118"/>
      <c r="C150" s="118"/>
      <c r="D150" s="118"/>
      <c r="E150" s="118"/>
      <c r="F150" s="118">
        <f t="shared" si="22"/>
        <v>0</v>
      </c>
      <c r="G150" s="118">
        <f t="shared" si="24"/>
        <v>0</v>
      </c>
      <c r="H150" s="118"/>
      <c r="I150" s="118"/>
      <c r="J150" s="118">
        <f t="shared" si="23"/>
        <v>0</v>
      </c>
      <c r="K150" s="116">
        <f t="shared" si="25"/>
        <v>0</v>
      </c>
      <c r="L150" s="118"/>
    </row>
    <row r="151" spans="1:12" ht="12.75">
      <c r="A151" s="175" t="s">
        <v>428</v>
      </c>
      <c r="B151" s="118"/>
      <c r="C151" s="118"/>
      <c r="D151" s="118"/>
      <c r="E151" s="118"/>
      <c r="F151" s="118">
        <f t="shared" si="22"/>
        <v>0</v>
      </c>
      <c r="G151" s="118">
        <f t="shared" si="24"/>
        <v>0</v>
      </c>
      <c r="H151" s="118"/>
      <c r="I151" s="118"/>
      <c r="J151" s="118">
        <f t="shared" si="23"/>
        <v>0</v>
      </c>
      <c r="K151" s="116">
        <f t="shared" si="25"/>
        <v>0</v>
      </c>
      <c r="L151" s="118"/>
    </row>
    <row r="152" spans="1:12" ht="12.75">
      <c r="A152" s="175" t="s">
        <v>638</v>
      </c>
      <c r="B152" s="118"/>
      <c r="C152" s="118"/>
      <c r="D152" s="118"/>
      <c r="E152" s="118"/>
      <c r="F152" s="118">
        <f t="shared" si="22"/>
        <v>0</v>
      </c>
      <c r="G152" s="118">
        <f t="shared" si="24"/>
        <v>0</v>
      </c>
      <c r="H152" s="118"/>
      <c r="I152" s="118"/>
      <c r="J152" s="118">
        <f t="shared" si="23"/>
        <v>0</v>
      </c>
      <c r="K152" s="116">
        <f t="shared" si="25"/>
        <v>0</v>
      </c>
      <c r="L152" s="118"/>
    </row>
    <row r="153" spans="1:12" ht="12.75">
      <c r="A153" s="175" t="s">
        <v>639</v>
      </c>
      <c r="B153" s="118"/>
      <c r="C153" s="118"/>
      <c r="D153" s="118"/>
      <c r="E153" s="118"/>
      <c r="F153" s="118">
        <f t="shared" si="22"/>
        <v>0</v>
      </c>
      <c r="G153" s="118">
        <f t="shared" si="24"/>
        <v>0</v>
      </c>
      <c r="H153" s="118"/>
      <c r="I153" s="118"/>
      <c r="J153" s="118">
        <f t="shared" si="23"/>
        <v>0</v>
      </c>
      <c r="K153" s="116">
        <f t="shared" si="25"/>
        <v>0</v>
      </c>
      <c r="L153" s="118"/>
    </row>
    <row r="154" spans="1:12" ht="12.75">
      <c r="A154" s="175" t="s">
        <v>369</v>
      </c>
      <c r="B154" s="118"/>
      <c r="C154" s="118"/>
      <c r="D154" s="118"/>
      <c r="E154" s="118"/>
      <c r="F154" s="118">
        <f t="shared" si="22"/>
        <v>0</v>
      </c>
      <c r="G154" s="118">
        <f t="shared" si="24"/>
        <v>0</v>
      </c>
      <c r="H154" s="118"/>
      <c r="I154" s="118"/>
      <c r="J154" s="118">
        <f t="shared" si="23"/>
        <v>0</v>
      </c>
      <c r="K154" s="116">
        <f t="shared" si="25"/>
        <v>0</v>
      </c>
      <c r="L154" s="118"/>
    </row>
    <row r="155" spans="1:12" ht="12.75">
      <c r="A155" s="175" t="s">
        <v>363</v>
      </c>
      <c r="B155" s="118"/>
      <c r="C155" s="118"/>
      <c r="D155" s="118"/>
      <c r="E155" s="118"/>
      <c r="F155" s="118">
        <f t="shared" si="22"/>
        <v>0</v>
      </c>
      <c r="G155" s="118">
        <f t="shared" si="24"/>
        <v>0</v>
      </c>
      <c r="H155" s="118"/>
      <c r="I155" s="118"/>
      <c r="J155" s="118">
        <f t="shared" si="23"/>
        <v>0</v>
      </c>
      <c r="K155" s="116">
        <f t="shared" si="25"/>
        <v>0</v>
      </c>
      <c r="L155" s="118"/>
    </row>
    <row r="156" spans="1:12" ht="12.75">
      <c r="A156" s="174" t="s">
        <v>275</v>
      </c>
      <c r="B156" s="118">
        <f>SUM(B157:B160)</f>
        <v>0</v>
      </c>
      <c r="C156" s="118">
        <f>SUM(C157:C160)</f>
        <v>0</v>
      </c>
      <c r="D156" s="118">
        <f>SUM(D157:D160)</f>
        <v>0</v>
      </c>
      <c r="E156" s="118">
        <f>SUM(E157:E160)</f>
        <v>0</v>
      </c>
      <c r="F156" s="118">
        <f t="shared" si="22"/>
        <v>0</v>
      </c>
      <c r="G156" s="118">
        <f>SUM(G157:G160)</f>
        <v>0</v>
      </c>
      <c r="H156" s="118">
        <f>SUM(H157:H160)</f>
        <v>0</v>
      </c>
      <c r="I156" s="118">
        <f>SUM(I157:I160)</f>
        <v>0</v>
      </c>
      <c r="J156" s="118">
        <f t="shared" si="23"/>
        <v>0</v>
      </c>
      <c r="K156" s="116">
        <f>SUM(K157:K160)</f>
        <v>0</v>
      </c>
      <c r="L156" s="118">
        <f>SUM(L157:L160)</f>
        <v>0</v>
      </c>
    </row>
    <row r="157" spans="1:12" ht="12.75">
      <c r="A157" s="175" t="s">
        <v>429</v>
      </c>
      <c r="B157" s="118"/>
      <c r="C157" s="118"/>
      <c r="D157" s="118"/>
      <c r="E157" s="118"/>
      <c r="F157" s="118">
        <f t="shared" si="22"/>
        <v>0</v>
      </c>
      <c r="G157" s="118">
        <f>C157-E157</f>
        <v>0</v>
      </c>
      <c r="H157" s="118"/>
      <c r="I157" s="118"/>
      <c r="J157" s="118">
        <f t="shared" si="23"/>
        <v>0</v>
      </c>
      <c r="K157" s="116">
        <f>C157-I157</f>
        <v>0</v>
      </c>
      <c r="L157" s="118"/>
    </row>
    <row r="158" spans="1:12" ht="12.75">
      <c r="A158" s="175" t="s">
        <v>430</v>
      </c>
      <c r="B158" s="118"/>
      <c r="C158" s="118"/>
      <c r="D158" s="118"/>
      <c r="E158" s="118"/>
      <c r="F158" s="118">
        <f t="shared" si="22"/>
        <v>0</v>
      </c>
      <c r="G158" s="118">
        <f>C158-E158</f>
        <v>0</v>
      </c>
      <c r="H158" s="118"/>
      <c r="I158" s="118"/>
      <c r="J158" s="118">
        <f t="shared" si="23"/>
        <v>0</v>
      </c>
      <c r="K158" s="116">
        <f>C158-I158</f>
        <v>0</v>
      </c>
      <c r="L158" s="118"/>
    </row>
    <row r="159" spans="1:12" ht="12.75">
      <c r="A159" s="175" t="s">
        <v>369</v>
      </c>
      <c r="B159" s="118"/>
      <c r="C159" s="118"/>
      <c r="D159" s="118"/>
      <c r="E159" s="118"/>
      <c r="F159" s="118">
        <f t="shared" si="22"/>
        <v>0</v>
      </c>
      <c r="G159" s="118">
        <f>C159-E159</f>
        <v>0</v>
      </c>
      <c r="H159" s="118"/>
      <c r="I159" s="118"/>
      <c r="J159" s="118">
        <f t="shared" si="23"/>
        <v>0</v>
      </c>
      <c r="K159" s="116">
        <f>C159-I159</f>
        <v>0</v>
      </c>
      <c r="L159" s="118"/>
    </row>
    <row r="160" spans="1:12" ht="12.75">
      <c r="A160" s="175" t="s">
        <v>363</v>
      </c>
      <c r="B160" s="118"/>
      <c r="C160" s="118"/>
      <c r="D160" s="118"/>
      <c r="E160" s="118"/>
      <c r="F160" s="118">
        <f t="shared" si="22"/>
        <v>0</v>
      </c>
      <c r="G160" s="118">
        <f>C160-E160</f>
        <v>0</v>
      </c>
      <c r="H160" s="118"/>
      <c r="I160" s="118"/>
      <c r="J160" s="118">
        <f t="shared" si="23"/>
        <v>0</v>
      </c>
      <c r="K160" s="116">
        <f>C160-I160</f>
        <v>0</v>
      </c>
      <c r="L160" s="118"/>
    </row>
    <row r="161" spans="1:12" ht="12.75">
      <c r="A161" s="174" t="s">
        <v>276</v>
      </c>
      <c r="B161" s="118">
        <f>SUM(B162:B168)</f>
        <v>2904000</v>
      </c>
      <c r="C161" s="118">
        <f>SUM(C162:C168)</f>
        <v>2934000</v>
      </c>
      <c r="D161" s="118">
        <f>SUM(D162:D168)</f>
        <v>434151.93</v>
      </c>
      <c r="E161" s="118">
        <f>SUM(E162:E168)</f>
        <v>434151.93</v>
      </c>
      <c r="F161" s="118">
        <f t="shared" si="22"/>
        <v>0.09345055176870484</v>
      </c>
      <c r="G161" s="118">
        <f>SUM(G162:G168)</f>
        <v>2499848.07</v>
      </c>
      <c r="H161" s="118">
        <f>SUM(H162:H168)</f>
        <v>386988.62</v>
      </c>
      <c r="I161" s="118">
        <f>SUM(I162:I168)</f>
        <v>386988.62</v>
      </c>
      <c r="J161" s="118">
        <f t="shared" si="23"/>
        <v>0.25907103182616353</v>
      </c>
      <c r="K161" s="116">
        <f>SUM(K162:K168)</f>
        <v>2547011.38</v>
      </c>
      <c r="L161" s="118">
        <f>SUM(L162:L168)</f>
        <v>0</v>
      </c>
    </row>
    <row r="162" spans="1:12" ht="12.75">
      <c r="A162" s="175" t="s">
        <v>431</v>
      </c>
      <c r="B162" s="118">
        <v>2904000</v>
      </c>
      <c r="C162" s="118">
        <v>2934000</v>
      </c>
      <c r="D162" s="118">
        <v>434151.93</v>
      </c>
      <c r="E162" s="118">
        <v>434151.93</v>
      </c>
      <c r="F162" s="118">
        <f t="shared" si="22"/>
        <v>0.09345055176870484</v>
      </c>
      <c r="G162" s="118">
        <f aca="true" t="shared" si="26" ref="G162:G168">C162-E162</f>
        <v>2499848.07</v>
      </c>
      <c r="H162" s="118">
        <v>386988.62</v>
      </c>
      <c r="I162" s="118">
        <v>386988.62</v>
      </c>
      <c r="J162" s="118">
        <f t="shared" si="23"/>
        <v>0.25907103182616353</v>
      </c>
      <c r="K162" s="116">
        <f aca="true" t="shared" si="27" ref="K162:K168">C162-I162</f>
        <v>2547011.38</v>
      </c>
      <c r="L162" s="118"/>
    </row>
    <row r="163" spans="1:12" ht="12.75">
      <c r="A163" s="175" t="s">
        <v>432</v>
      </c>
      <c r="B163" s="118"/>
      <c r="C163" s="118"/>
      <c r="D163" s="118"/>
      <c r="E163" s="118"/>
      <c r="F163" s="118">
        <f t="shared" si="22"/>
        <v>0</v>
      </c>
      <c r="G163" s="118">
        <f t="shared" si="26"/>
        <v>0</v>
      </c>
      <c r="H163" s="118"/>
      <c r="I163" s="118"/>
      <c r="J163" s="118">
        <f t="shared" si="23"/>
        <v>0</v>
      </c>
      <c r="K163" s="116">
        <f t="shared" si="27"/>
        <v>0</v>
      </c>
      <c r="L163" s="118"/>
    </row>
    <row r="164" spans="1:12" ht="12.75">
      <c r="A164" s="175" t="s">
        <v>433</v>
      </c>
      <c r="B164" s="118"/>
      <c r="C164" s="118"/>
      <c r="D164" s="118"/>
      <c r="E164" s="118"/>
      <c r="F164" s="118">
        <f t="shared" si="22"/>
        <v>0</v>
      </c>
      <c r="G164" s="118">
        <f t="shared" si="26"/>
        <v>0</v>
      </c>
      <c r="H164" s="118"/>
      <c r="I164" s="118"/>
      <c r="J164" s="118">
        <f t="shared" si="23"/>
        <v>0</v>
      </c>
      <c r="K164" s="116">
        <f t="shared" si="27"/>
        <v>0</v>
      </c>
      <c r="L164" s="118"/>
    </row>
    <row r="165" spans="1:12" ht="12.75">
      <c r="A165" s="175" t="s">
        <v>434</v>
      </c>
      <c r="B165" s="118"/>
      <c r="C165" s="118"/>
      <c r="D165" s="118"/>
      <c r="E165" s="118"/>
      <c r="F165" s="118">
        <f t="shared" si="22"/>
        <v>0</v>
      </c>
      <c r="G165" s="118">
        <f t="shared" si="26"/>
        <v>0</v>
      </c>
      <c r="H165" s="118"/>
      <c r="I165" s="118"/>
      <c r="J165" s="118">
        <f t="shared" si="23"/>
        <v>0</v>
      </c>
      <c r="K165" s="116">
        <f t="shared" si="27"/>
        <v>0</v>
      </c>
      <c r="L165" s="118"/>
    </row>
    <row r="166" spans="1:12" ht="12.75">
      <c r="A166" s="175" t="s">
        <v>435</v>
      </c>
      <c r="B166" s="118"/>
      <c r="C166" s="118"/>
      <c r="D166" s="118"/>
      <c r="E166" s="118"/>
      <c r="F166" s="118">
        <f t="shared" si="22"/>
        <v>0</v>
      </c>
      <c r="G166" s="118">
        <f t="shared" si="26"/>
        <v>0</v>
      </c>
      <c r="H166" s="118"/>
      <c r="I166" s="118"/>
      <c r="J166" s="118">
        <f t="shared" si="23"/>
        <v>0</v>
      </c>
      <c r="K166" s="116">
        <f t="shared" si="27"/>
        <v>0</v>
      </c>
      <c r="L166" s="118"/>
    </row>
    <row r="167" spans="1:12" ht="12.75">
      <c r="A167" s="175" t="s">
        <v>369</v>
      </c>
      <c r="B167" s="118"/>
      <c r="C167" s="118"/>
      <c r="D167" s="118"/>
      <c r="E167" s="118"/>
      <c r="F167" s="118">
        <f t="shared" si="22"/>
        <v>0</v>
      </c>
      <c r="G167" s="118">
        <f t="shared" si="26"/>
        <v>0</v>
      </c>
      <c r="H167" s="118"/>
      <c r="I167" s="118"/>
      <c r="J167" s="118">
        <f t="shared" si="23"/>
        <v>0</v>
      </c>
      <c r="K167" s="116">
        <f t="shared" si="27"/>
        <v>0</v>
      </c>
      <c r="L167" s="118"/>
    </row>
    <row r="168" spans="1:12" ht="12.75">
      <c r="A168" s="175" t="s">
        <v>363</v>
      </c>
      <c r="B168" s="118"/>
      <c r="C168" s="118"/>
      <c r="D168" s="118"/>
      <c r="E168" s="118"/>
      <c r="F168" s="118">
        <f t="shared" si="22"/>
        <v>0</v>
      </c>
      <c r="G168" s="118">
        <f t="shared" si="26"/>
        <v>0</v>
      </c>
      <c r="H168" s="118"/>
      <c r="I168" s="118"/>
      <c r="J168" s="118">
        <f t="shared" si="23"/>
        <v>0</v>
      </c>
      <c r="K168" s="116">
        <f t="shared" si="27"/>
        <v>0</v>
      </c>
      <c r="L168" s="118"/>
    </row>
    <row r="169" spans="1:12" ht="12.75">
      <c r="A169" s="174" t="s">
        <v>277</v>
      </c>
      <c r="B169" s="118">
        <f>SUM(B170:B176)</f>
        <v>292000</v>
      </c>
      <c r="C169" s="118">
        <f>SUM(C170:C176)</f>
        <v>292000</v>
      </c>
      <c r="D169" s="118">
        <f>SUM(D170:D176)</f>
        <v>0</v>
      </c>
      <c r="E169" s="118">
        <f>SUM(E170:E176)</f>
        <v>0</v>
      </c>
      <c r="F169" s="118">
        <f t="shared" si="22"/>
        <v>0</v>
      </c>
      <c r="G169" s="118">
        <f>SUM(G170:G176)</f>
        <v>292000</v>
      </c>
      <c r="H169" s="118">
        <f>SUM(H170:H176)</f>
        <v>0</v>
      </c>
      <c r="I169" s="118">
        <f>SUM(I170:I176)</f>
        <v>0</v>
      </c>
      <c r="J169" s="118">
        <f t="shared" si="23"/>
        <v>0</v>
      </c>
      <c r="K169" s="116">
        <f>SUM(K170:K176)</f>
        <v>292000</v>
      </c>
      <c r="L169" s="118">
        <f>SUM(L170:L176)</f>
        <v>0</v>
      </c>
    </row>
    <row r="170" spans="1:12" ht="12.75">
      <c r="A170" s="175" t="s">
        <v>436</v>
      </c>
      <c r="B170" s="118"/>
      <c r="C170" s="118"/>
      <c r="D170" s="118"/>
      <c r="E170" s="118"/>
      <c r="F170" s="118">
        <f t="shared" si="22"/>
        <v>0</v>
      </c>
      <c r="G170" s="118">
        <f aca="true" t="shared" si="28" ref="G170:G176">C170-E170</f>
        <v>0</v>
      </c>
      <c r="H170" s="118"/>
      <c r="I170" s="118"/>
      <c r="J170" s="118">
        <f t="shared" si="23"/>
        <v>0</v>
      </c>
      <c r="K170" s="116">
        <f aca="true" t="shared" si="29" ref="K170:K176">C170-I170</f>
        <v>0</v>
      </c>
      <c r="L170" s="118"/>
    </row>
    <row r="171" spans="1:12" ht="12.75">
      <c r="A171" s="175" t="s">
        <v>437</v>
      </c>
      <c r="B171" s="118"/>
      <c r="C171" s="118"/>
      <c r="D171" s="118"/>
      <c r="E171" s="118"/>
      <c r="F171" s="118">
        <f t="shared" si="22"/>
        <v>0</v>
      </c>
      <c r="G171" s="118">
        <f t="shared" si="28"/>
        <v>0</v>
      </c>
      <c r="H171" s="118"/>
      <c r="I171" s="118"/>
      <c r="J171" s="118">
        <f t="shared" si="23"/>
        <v>0</v>
      </c>
      <c r="K171" s="116">
        <f t="shared" si="29"/>
        <v>0</v>
      </c>
      <c r="L171" s="118"/>
    </row>
    <row r="172" spans="1:12" ht="12.75">
      <c r="A172" s="175" t="s">
        <v>438</v>
      </c>
      <c r="B172" s="118"/>
      <c r="C172" s="118"/>
      <c r="D172" s="118"/>
      <c r="E172" s="118"/>
      <c r="F172" s="118">
        <f t="shared" si="22"/>
        <v>0</v>
      </c>
      <c r="G172" s="118">
        <f t="shared" si="28"/>
        <v>0</v>
      </c>
      <c r="H172" s="118"/>
      <c r="I172" s="118"/>
      <c r="J172" s="118">
        <f t="shared" si="23"/>
        <v>0</v>
      </c>
      <c r="K172" s="116">
        <f t="shared" si="29"/>
        <v>0</v>
      </c>
      <c r="L172" s="118"/>
    </row>
    <row r="173" spans="1:12" ht="12.75">
      <c r="A173" s="175" t="s">
        <v>439</v>
      </c>
      <c r="B173" s="118"/>
      <c r="C173" s="118"/>
      <c r="D173" s="118"/>
      <c r="E173" s="118"/>
      <c r="F173" s="118">
        <f t="shared" si="22"/>
        <v>0</v>
      </c>
      <c r="G173" s="118">
        <f t="shared" si="28"/>
        <v>0</v>
      </c>
      <c r="H173" s="118"/>
      <c r="I173" s="118"/>
      <c r="J173" s="118">
        <f t="shared" si="23"/>
        <v>0</v>
      </c>
      <c r="K173" s="116">
        <f t="shared" si="29"/>
        <v>0</v>
      </c>
      <c r="L173" s="118"/>
    </row>
    <row r="174" spans="1:12" ht="12.75">
      <c r="A174" s="175" t="s">
        <v>440</v>
      </c>
      <c r="B174" s="118">
        <v>292000</v>
      </c>
      <c r="C174" s="118">
        <v>292000</v>
      </c>
      <c r="D174" s="118">
        <v>0</v>
      </c>
      <c r="E174" s="118">
        <v>0</v>
      </c>
      <c r="F174" s="118">
        <f t="shared" si="22"/>
        <v>0</v>
      </c>
      <c r="G174" s="118">
        <f t="shared" si="28"/>
        <v>292000</v>
      </c>
      <c r="H174" s="118">
        <v>0</v>
      </c>
      <c r="I174" s="118">
        <v>0</v>
      </c>
      <c r="J174" s="118">
        <f t="shared" si="23"/>
        <v>0</v>
      </c>
      <c r="K174" s="116">
        <f t="shared" si="29"/>
        <v>292000</v>
      </c>
      <c r="L174" s="118"/>
    </row>
    <row r="175" spans="1:12" ht="12.75">
      <c r="A175" s="175" t="s">
        <v>369</v>
      </c>
      <c r="B175" s="118"/>
      <c r="C175" s="118"/>
      <c r="D175" s="118"/>
      <c r="E175" s="118"/>
      <c r="F175" s="118">
        <f t="shared" si="22"/>
        <v>0</v>
      </c>
      <c r="G175" s="118">
        <f t="shared" si="28"/>
        <v>0</v>
      </c>
      <c r="H175" s="118"/>
      <c r="I175" s="118"/>
      <c r="J175" s="118">
        <f t="shared" si="23"/>
        <v>0</v>
      </c>
      <c r="K175" s="116">
        <f t="shared" si="29"/>
        <v>0</v>
      </c>
      <c r="L175" s="118"/>
    </row>
    <row r="176" spans="1:12" ht="12.75">
      <c r="A176" s="175" t="s">
        <v>363</v>
      </c>
      <c r="B176" s="118"/>
      <c r="C176" s="118"/>
      <c r="D176" s="118"/>
      <c r="E176" s="118"/>
      <c r="F176" s="118">
        <f t="shared" si="22"/>
        <v>0</v>
      </c>
      <c r="G176" s="118">
        <f t="shared" si="28"/>
        <v>0</v>
      </c>
      <c r="H176" s="118"/>
      <c r="I176" s="118"/>
      <c r="J176" s="118">
        <f t="shared" si="23"/>
        <v>0</v>
      </c>
      <c r="K176" s="116">
        <f t="shared" si="29"/>
        <v>0</v>
      </c>
      <c r="L176" s="118"/>
    </row>
    <row r="177" spans="1:12" ht="12.75">
      <c r="A177" s="174" t="s">
        <v>278</v>
      </c>
      <c r="B177" s="118">
        <f>SUM(B178:B181)</f>
        <v>0</v>
      </c>
      <c r="C177" s="118">
        <f>SUM(C178:C181)</f>
        <v>0</v>
      </c>
      <c r="D177" s="118">
        <f>SUM(D178:D181)</f>
        <v>0</v>
      </c>
      <c r="E177" s="118">
        <f>SUM(E178:E181)</f>
        <v>0</v>
      </c>
      <c r="F177" s="118">
        <f t="shared" si="22"/>
        <v>0</v>
      </c>
      <c r="G177" s="118">
        <f>SUM(G178:G181)</f>
        <v>0</v>
      </c>
      <c r="H177" s="118">
        <f>SUM(H178:H181)</f>
        <v>0</v>
      </c>
      <c r="I177" s="118">
        <f>SUM(I178:I181)</f>
        <v>0</v>
      </c>
      <c r="J177" s="118">
        <f t="shared" si="23"/>
        <v>0</v>
      </c>
      <c r="K177" s="116">
        <f>SUM(K178:K181)</f>
        <v>0</v>
      </c>
      <c r="L177" s="118">
        <f>SUM(L178:L181)</f>
        <v>0</v>
      </c>
    </row>
    <row r="178" spans="1:12" ht="12.75">
      <c r="A178" s="175" t="s">
        <v>441</v>
      </c>
      <c r="B178" s="118"/>
      <c r="C178" s="118"/>
      <c r="D178" s="118"/>
      <c r="E178" s="118"/>
      <c r="F178" s="118">
        <f t="shared" si="22"/>
        <v>0</v>
      </c>
      <c r="G178" s="118">
        <f>C178-E178</f>
        <v>0</v>
      </c>
      <c r="H178" s="118"/>
      <c r="I178" s="118"/>
      <c r="J178" s="118">
        <f t="shared" si="23"/>
        <v>0</v>
      </c>
      <c r="K178" s="116">
        <f>C178-I178</f>
        <v>0</v>
      </c>
      <c r="L178" s="118"/>
    </row>
    <row r="179" spans="1:12" ht="12.75">
      <c r="A179" s="175" t="s">
        <v>442</v>
      </c>
      <c r="B179" s="118"/>
      <c r="C179" s="118"/>
      <c r="D179" s="118"/>
      <c r="E179" s="118"/>
      <c r="F179" s="118">
        <f t="shared" si="22"/>
        <v>0</v>
      </c>
      <c r="G179" s="118">
        <f>C179-E179</f>
        <v>0</v>
      </c>
      <c r="H179" s="118"/>
      <c r="I179" s="118"/>
      <c r="J179" s="118">
        <f t="shared" si="23"/>
        <v>0</v>
      </c>
      <c r="K179" s="116">
        <f>C179-I179</f>
        <v>0</v>
      </c>
      <c r="L179" s="118"/>
    </row>
    <row r="180" spans="1:12" ht="12.75">
      <c r="A180" s="175" t="s">
        <v>369</v>
      </c>
      <c r="B180" s="118"/>
      <c r="C180" s="118"/>
      <c r="D180" s="118"/>
      <c r="E180" s="118"/>
      <c r="F180" s="118">
        <f aca="true" t="shared" si="30" ref="F180:F211">IF($E$214&gt;0,E180/$E$214,0)*100</f>
        <v>0</v>
      </c>
      <c r="G180" s="118">
        <f>C180-E180</f>
        <v>0</v>
      </c>
      <c r="H180" s="118"/>
      <c r="I180" s="118"/>
      <c r="J180" s="118">
        <f aca="true" t="shared" si="31" ref="J180:J211">IF($I$214&gt;0,I180/$I$214,0)*100</f>
        <v>0</v>
      </c>
      <c r="K180" s="116">
        <f>C180-I180</f>
        <v>0</v>
      </c>
      <c r="L180" s="118"/>
    </row>
    <row r="181" spans="1:12" ht="12.75">
      <c r="A181" s="175" t="s">
        <v>363</v>
      </c>
      <c r="B181" s="118"/>
      <c r="C181" s="118"/>
      <c r="D181" s="118"/>
      <c r="E181" s="118"/>
      <c r="F181" s="118">
        <f t="shared" si="30"/>
        <v>0</v>
      </c>
      <c r="G181" s="118">
        <f>C181-E181</f>
        <v>0</v>
      </c>
      <c r="H181" s="118"/>
      <c r="I181" s="118"/>
      <c r="J181" s="118">
        <f t="shared" si="31"/>
        <v>0</v>
      </c>
      <c r="K181" s="116">
        <f>C181-I181</f>
        <v>0</v>
      </c>
      <c r="L181" s="118"/>
    </row>
    <row r="182" spans="1:12" ht="12.75">
      <c r="A182" s="174" t="s">
        <v>279</v>
      </c>
      <c r="B182" s="118">
        <f>SUM(B183:B188)</f>
        <v>0</v>
      </c>
      <c r="C182" s="118">
        <f>SUM(C183:C188)</f>
        <v>0</v>
      </c>
      <c r="D182" s="118">
        <f>SUM(D183:D188)</f>
        <v>0</v>
      </c>
      <c r="E182" s="118">
        <f>SUM(E183:E188)</f>
        <v>0</v>
      </c>
      <c r="F182" s="118">
        <f t="shared" si="30"/>
        <v>0</v>
      </c>
      <c r="G182" s="118">
        <f>SUM(G183:G188)</f>
        <v>0</v>
      </c>
      <c r="H182" s="118">
        <f>SUM(H183:H188)</f>
        <v>0</v>
      </c>
      <c r="I182" s="118">
        <f>SUM(I183:I188)</f>
        <v>0</v>
      </c>
      <c r="J182" s="118">
        <f t="shared" si="31"/>
        <v>0</v>
      </c>
      <c r="K182" s="116">
        <f>SUM(K183:K188)</f>
        <v>0</v>
      </c>
      <c r="L182" s="118">
        <f>SUM(L183:L188)</f>
        <v>0</v>
      </c>
    </row>
    <row r="183" spans="1:12" ht="12.75">
      <c r="A183" s="175" t="s">
        <v>443</v>
      </c>
      <c r="B183" s="118"/>
      <c r="C183" s="118"/>
      <c r="D183" s="118"/>
      <c r="E183" s="118"/>
      <c r="F183" s="118">
        <f t="shared" si="30"/>
        <v>0</v>
      </c>
      <c r="G183" s="118">
        <f aca="true" t="shared" si="32" ref="G183:G188">C183-E183</f>
        <v>0</v>
      </c>
      <c r="H183" s="118"/>
      <c r="I183" s="118"/>
      <c r="J183" s="118">
        <f t="shared" si="31"/>
        <v>0</v>
      </c>
      <c r="K183" s="116">
        <f aca="true" t="shared" si="33" ref="K183:K188">C183-I183</f>
        <v>0</v>
      </c>
      <c r="L183" s="118"/>
    </row>
    <row r="184" spans="1:12" ht="12.75">
      <c r="A184" s="175" t="s">
        <v>444</v>
      </c>
      <c r="B184" s="118"/>
      <c r="C184" s="118"/>
      <c r="D184" s="118"/>
      <c r="E184" s="118"/>
      <c r="F184" s="118">
        <f t="shared" si="30"/>
        <v>0</v>
      </c>
      <c r="G184" s="118">
        <f t="shared" si="32"/>
        <v>0</v>
      </c>
      <c r="H184" s="118"/>
      <c r="I184" s="118"/>
      <c r="J184" s="118">
        <f t="shared" si="31"/>
        <v>0</v>
      </c>
      <c r="K184" s="116">
        <f t="shared" si="33"/>
        <v>0</v>
      </c>
      <c r="L184" s="118"/>
    </row>
    <row r="185" spans="1:12" ht="12.75">
      <c r="A185" s="175" t="s">
        <v>445</v>
      </c>
      <c r="B185" s="118"/>
      <c r="C185" s="118"/>
      <c r="D185" s="118"/>
      <c r="E185" s="118"/>
      <c r="F185" s="118">
        <f t="shared" si="30"/>
        <v>0</v>
      </c>
      <c r="G185" s="118">
        <f t="shared" si="32"/>
        <v>0</v>
      </c>
      <c r="H185" s="118"/>
      <c r="I185" s="118"/>
      <c r="J185" s="118">
        <f t="shared" si="31"/>
        <v>0</v>
      </c>
      <c r="K185" s="116">
        <f t="shared" si="33"/>
        <v>0</v>
      </c>
      <c r="L185" s="118"/>
    </row>
    <row r="186" spans="1:12" ht="12.75">
      <c r="A186" s="175" t="s">
        <v>446</v>
      </c>
      <c r="B186" s="118"/>
      <c r="C186" s="118"/>
      <c r="D186" s="118"/>
      <c r="E186" s="118"/>
      <c r="F186" s="118">
        <f t="shared" si="30"/>
        <v>0</v>
      </c>
      <c r="G186" s="118">
        <f t="shared" si="32"/>
        <v>0</v>
      </c>
      <c r="H186" s="118"/>
      <c r="I186" s="118"/>
      <c r="J186" s="118">
        <f t="shared" si="31"/>
        <v>0</v>
      </c>
      <c r="K186" s="116">
        <f t="shared" si="33"/>
        <v>0</v>
      </c>
      <c r="L186" s="118"/>
    </row>
    <row r="187" spans="1:12" ht="12.75">
      <c r="A187" s="175" t="s">
        <v>369</v>
      </c>
      <c r="B187" s="118"/>
      <c r="C187" s="118"/>
      <c r="D187" s="118"/>
      <c r="E187" s="118"/>
      <c r="F187" s="118">
        <f t="shared" si="30"/>
        <v>0</v>
      </c>
      <c r="G187" s="118">
        <f t="shared" si="32"/>
        <v>0</v>
      </c>
      <c r="H187" s="118"/>
      <c r="I187" s="118"/>
      <c r="J187" s="118">
        <f t="shared" si="31"/>
        <v>0</v>
      </c>
      <c r="K187" s="116">
        <f t="shared" si="33"/>
        <v>0</v>
      </c>
      <c r="L187" s="118"/>
    </row>
    <row r="188" spans="1:12" ht="12.75">
      <c r="A188" s="175" t="s">
        <v>363</v>
      </c>
      <c r="B188" s="118"/>
      <c r="C188" s="118"/>
      <c r="D188" s="118"/>
      <c r="E188" s="118"/>
      <c r="F188" s="118">
        <f t="shared" si="30"/>
        <v>0</v>
      </c>
      <c r="G188" s="118">
        <f t="shared" si="32"/>
        <v>0</v>
      </c>
      <c r="H188" s="118"/>
      <c r="I188" s="118"/>
      <c r="J188" s="118">
        <f t="shared" si="31"/>
        <v>0</v>
      </c>
      <c r="K188" s="116">
        <f t="shared" si="33"/>
        <v>0</v>
      </c>
      <c r="L188" s="118"/>
    </row>
    <row r="189" spans="1:12" ht="12.75">
      <c r="A189" s="174" t="s">
        <v>280</v>
      </c>
      <c r="B189" s="118">
        <f>SUM(B190:B196)</f>
        <v>0</v>
      </c>
      <c r="C189" s="118">
        <f>SUM(C190:C196)</f>
        <v>0</v>
      </c>
      <c r="D189" s="118">
        <f>SUM(D190:D196)</f>
        <v>0</v>
      </c>
      <c r="E189" s="118">
        <f>SUM(E190:E196)</f>
        <v>0</v>
      </c>
      <c r="F189" s="118">
        <f t="shared" si="30"/>
        <v>0</v>
      </c>
      <c r="G189" s="118">
        <f>SUM(G190:G196)</f>
        <v>0</v>
      </c>
      <c r="H189" s="118">
        <f>SUM(H190:H196)</f>
        <v>0</v>
      </c>
      <c r="I189" s="118">
        <f>SUM(I190:I196)</f>
        <v>0</v>
      </c>
      <c r="J189" s="118">
        <f t="shared" si="31"/>
        <v>0</v>
      </c>
      <c r="K189" s="116">
        <f>SUM(K190:K196)</f>
        <v>0</v>
      </c>
      <c r="L189" s="118">
        <f>SUM(L190:L196)</f>
        <v>0</v>
      </c>
    </row>
    <row r="190" spans="1:12" ht="12.75">
      <c r="A190" s="175" t="s">
        <v>447</v>
      </c>
      <c r="B190" s="118"/>
      <c r="C190" s="118"/>
      <c r="D190" s="118"/>
      <c r="E190" s="118"/>
      <c r="F190" s="118">
        <f t="shared" si="30"/>
        <v>0</v>
      </c>
      <c r="G190" s="118">
        <f aca="true" t="shared" si="34" ref="G190:G196">C190-E190</f>
        <v>0</v>
      </c>
      <c r="H190" s="118"/>
      <c r="I190" s="118"/>
      <c r="J190" s="118">
        <f t="shared" si="31"/>
        <v>0</v>
      </c>
      <c r="K190" s="116">
        <f aca="true" t="shared" si="35" ref="K190:K196">C190-I190</f>
        <v>0</v>
      </c>
      <c r="L190" s="118"/>
    </row>
    <row r="191" spans="1:12" ht="12.75">
      <c r="A191" s="175" t="s">
        <v>448</v>
      </c>
      <c r="B191" s="118"/>
      <c r="C191" s="118"/>
      <c r="D191" s="118"/>
      <c r="E191" s="118"/>
      <c r="F191" s="118">
        <f t="shared" si="30"/>
        <v>0</v>
      </c>
      <c r="G191" s="118">
        <f t="shared" si="34"/>
        <v>0</v>
      </c>
      <c r="H191" s="118"/>
      <c r="I191" s="118"/>
      <c r="J191" s="118">
        <f t="shared" si="31"/>
        <v>0</v>
      </c>
      <c r="K191" s="116">
        <f t="shared" si="35"/>
        <v>0</v>
      </c>
      <c r="L191" s="118"/>
    </row>
    <row r="192" spans="1:12" ht="12.75">
      <c r="A192" s="175" t="s">
        <v>449</v>
      </c>
      <c r="B192" s="118"/>
      <c r="C192" s="118"/>
      <c r="D192" s="118"/>
      <c r="E192" s="118"/>
      <c r="F192" s="118">
        <f t="shared" si="30"/>
        <v>0</v>
      </c>
      <c r="G192" s="118">
        <f t="shared" si="34"/>
        <v>0</v>
      </c>
      <c r="H192" s="118"/>
      <c r="I192" s="118"/>
      <c r="J192" s="118">
        <f t="shared" si="31"/>
        <v>0</v>
      </c>
      <c r="K192" s="116">
        <f t="shared" si="35"/>
        <v>0</v>
      </c>
      <c r="L192" s="118"/>
    </row>
    <row r="193" spans="1:12" ht="12.75">
      <c r="A193" s="175" t="s">
        <v>450</v>
      </c>
      <c r="B193" s="118"/>
      <c r="C193" s="118"/>
      <c r="D193" s="118"/>
      <c r="E193" s="118"/>
      <c r="F193" s="118">
        <f t="shared" si="30"/>
        <v>0</v>
      </c>
      <c r="G193" s="118">
        <f t="shared" si="34"/>
        <v>0</v>
      </c>
      <c r="H193" s="118"/>
      <c r="I193" s="118"/>
      <c r="J193" s="118">
        <f t="shared" si="31"/>
        <v>0</v>
      </c>
      <c r="K193" s="116">
        <f t="shared" si="35"/>
        <v>0</v>
      </c>
      <c r="L193" s="118"/>
    </row>
    <row r="194" spans="1:12" ht="12.75">
      <c r="A194" s="175" t="s">
        <v>451</v>
      </c>
      <c r="B194" s="118"/>
      <c r="C194" s="118"/>
      <c r="D194" s="118"/>
      <c r="E194" s="118"/>
      <c r="F194" s="118">
        <f t="shared" si="30"/>
        <v>0</v>
      </c>
      <c r="G194" s="118">
        <f t="shared" si="34"/>
        <v>0</v>
      </c>
      <c r="H194" s="118"/>
      <c r="I194" s="118"/>
      <c r="J194" s="118">
        <f t="shared" si="31"/>
        <v>0</v>
      </c>
      <c r="K194" s="116">
        <f t="shared" si="35"/>
        <v>0</v>
      </c>
      <c r="L194" s="118"/>
    </row>
    <row r="195" spans="1:12" ht="12.75">
      <c r="A195" s="175" t="s">
        <v>369</v>
      </c>
      <c r="B195" s="118"/>
      <c r="C195" s="118"/>
      <c r="D195" s="118"/>
      <c r="E195" s="118"/>
      <c r="F195" s="118">
        <f t="shared" si="30"/>
        <v>0</v>
      </c>
      <c r="G195" s="118">
        <f t="shared" si="34"/>
        <v>0</v>
      </c>
      <c r="H195" s="118"/>
      <c r="I195" s="118"/>
      <c r="J195" s="118">
        <f t="shared" si="31"/>
        <v>0</v>
      </c>
      <c r="K195" s="116">
        <f t="shared" si="35"/>
        <v>0</v>
      </c>
      <c r="L195" s="118"/>
    </row>
    <row r="196" spans="1:12" ht="12.75">
      <c r="A196" s="175" t="s">
        <v>363</v>
      </c>
      <c r="B196" s="118"/>
      <c r="C196" s="118"/>
      <c r="D196" s="118"/>
      <c r="E196" s="118"/>
      <c r="F196" s="118">
        <f t="shared" si="30"/>
        <v>0</v>
      </c>
      <c r="G196" s="118">
        <f t="shared" si="34"/>
        <v>0</v>
      </c>
      <c r="H196" s="118"/>
      <c r="I196" s="118"/>
      <c r="J196" s="118">
        <f t="shared" si="31"/>
        <v>0</v>
      </c>
      <c r="K196" s="116">
        <f t="shared" si="35"/>
        <v>0</v>
      </c>
      <c r="L196" s="118"/>
    </row>
    <row r="197" spans="1:12" ht="12.75">
      <c r="A197" s="174" t="s">
        <v>281</v>
      </c>
      <c r="B197" s="118">
        <f>SUM(B198:B202)</f>
        <v>17404000</v>
      </c>
      <c r="C197" s="118">
        <f>SUM(C198:C202)</f>
        <v>17775744.8</v>
      </c>
      <c r="D197" s="118">
        <f>SUM(D198:D202)</f>
        <v>4104841.88</v>
      </c>
      <c r="E197" s="118">
        <f>SUM(E198:E202)</f>
        <v>4104841.88</v>
      </c>
      <c r="F197" s="118">
        <f t="shared" si="30"/>
        <v>0.8835610580132344</v>
      </c>
      <c r="G197" s="118">
        <f>SUM(G198:G202)</f>
        <v>13670902.920000002</v>
      </c>
      <c r="H197" s="118">
        <f>SUM(H198:H202)</f>
        <v>1898279.9</v>
      </c>
      <c r="I197" s="118">
        <f>SUM(I198:I202)</f>
        <v>1898279.9</v>
      </c>
      <c r="J197" s="118">
        <f t="shared" si="31"/>
        <v>1.2708108377653755</v>
      </c>
      <c r="K197" s="116">
        <f>SUM(K198:K202)</f>
        <v>15877464.9</v>
      </c>
      <c r="L197" s="118">
        <f>SUM(L198:L202)</f>
        <v>0</v>
      </c>
    </row>
    <row r="198" spans="1:12" ht="12.75">
      <c r="A198" s="175" t="s">
        <v>452</v>
      </c>
      <c r="B198" s="118">
        <v>2156000</v>
      </c>
      <c r="C198" s="118">
        <v>2156000</v>
      </c>
      <c r="D198" s="118">
        <v>769203.11</v>
      </c>
      <c r="E198" s="118">
        <v>769203.11</v>
      </c>
      <c r="F198" s="118">
        <f t="shared" si="30"/>
        <v>0.16556981573640306</v>
      </c>
      <c r="G198" s="118">
        <f>C198-E198</f>
        <v>1386796.8900000001</v>
      </c>
      <c r="H198" s="118">
        <v>224892.15</v>
      </c>
      <c r="I198" s="118">
        <v>224892.15</v>
      </c>
      <c r="J198" s="118">
        <f t="shared" si="31"/>
        <v>0.15055492161527734</v>
      </c>
      <c r="K198" s="116">
        <f>C198-I198</f>
        <v>1931107.85</v>
      </c>
      <c r="L198" s="118"/>
    </row>
    <row r="199" spans="1:12" ht="12.75">
      <c r="A199" s="175" t="s">
        <v>453</v>
      </c>
      <c r="B199" s="118">
        <v>15007000</v>
      </c>
      <c r="C199" s="118">
        <v>15378744.8</v>
      </c>
      <c r="D199" s="118">
        <v>3333148.77</v>
      </c>
      <c r="E199" s="118">
        <v>3333148.77</v>
      </c>
      <c r="F199" s="118">
        <f t="shared" si="30"/>
        <v>0.7174552735114638</v>
      </c>
      <c r="G199" s="118">
        <f>C199-E199</f>
        <v>12045596.030000001</v>
      </c>
      <c r="H199" s="118">
        <v>1673387.75</v>
      </c>
      <c r="I199" s="118">
        <v>1673387.75</v>
      </c>
      <c r="J199" s="118">
        <f t="shared" si="31"/>
        <v>1.1202559161500982</v>
      </c>
      <c r="K199" s="116">
        <f>C199-I199</f>
        <v>13705357.05</v>
      </c>
      <c r="L199" s="118"/>
    </row>
    <row r="200" spans="1:12" ht="12.75">
      <c r="A200" s="175" t="s">
        <v>454</v>
      </c>
      <c r="B200" s="118">
        <v>241000</v>
      </c>
      <c r="C200" s="118">
        <v>241000</v>
      </c>
      <c r="D200" s="118">
        <v>2490</v>
      </c>
      <c r="E200" s="118">
        <v>2490</v>
      </c>
      <c r="F200" s="118">
        <f t="shared" si="30"/>
        <v>0.000535968765367633</v>
      </c>
      <c r="G200" s="118">
        <f>C200-E200</f>
        <v>238510</v>
      </c>
      <c r="H200" s="118">
        <v>0</v>
      </c>
      <c r="I200" s="118">
        <v>0</v>
      </c>
      <c r="J200" s="118">
        <f t="shared" si="31"/>
        <v>0</v>
      </c>
      <c r="K200" s="116">
        <f>C200-I200</f>
        <v>241000</v>
      </c>
      <c r="L200" s="118"/>
    </row>
    <row r="201" spans="1:12" ht="12.75">
      <c r="A201" s="175" t="s">
        <v>369</v>
      </c>
      <c r="B201" s="118"/>
      <c r="C201" s="118"/>
      <c r="D201" s="118"/>
      <c r="E201" s="118"/>
      <c r="F201" s="118">
        <f t="shared" si="30"/>
        <v>0</v>
      </c>
      <c r="G201" s="118">
        <f>C201-E201</f>
        <v>0</v>
      </c>
      <c r="H201" s="118"/>
      <c r="I201" s="118"/>
      <c r="J201" s="118">
        <f t="shared" si="31"/>
        <v>0</v>
      </c>
      <c r="K201" s="116">
        <f>C201-I201</f>
        <v>0</v>
      </c>
      <c r="L201" s="118"/>
    </row>
    <row r="202" spans="1:12" ht="12.75">
      <c r="A202" s="175" t="s">
        <v>363</v>
      </c>
      <c r="B202" s="118"/>
      <c r="C202" s="118"/>
      <c r="D202" s="118"/>
      <c r="E202" s="118"/>
      <c r="F202" s="118">
        <f t="shared" si="30"/>
        <v>0</v>
      </c>
      <c r="G202" s="118">
        <f>C202-E202</f>
        <v>0</v>
      </c>
      <c r="H202" s="118"/>
      <c r="I202" s="118"/>
      <c r="J202" s="118">
        <f t="shared" si="31"/>
        <v>0</v>
      </c>
      <c r="K202" s="116">
        <f>C202-I202</f>
        <v>0</v>
      </c>
      <c r="L202" s="118"/>
    </row>
    <row r="203" spans="1:12" ht="12.75">
      <c r="A203" s="174" t="s">
        <v>282</v>
      </c>
      <c r="B203" s="118">
        <f>SUM(B204:B211)</f>
        <v>30005200</v>
      </c>
      <c r="C203" s="118">
        <f>SUM(C204:C211)</f>
        <v>30005200</v>
      </c>
      <c r="D203" s="118">
        <f>SUM(D204:D211)</f>
        <v>12793251.59</v>
      </c>
      <c r="E203" s="118">
        <f>SUM(E204:E211)</f>
        <v>12793251.59</v>
      </c>
      <c r="F203" s="118">
        <f t="shared" si="30"/>
        <v>2.753728216758959</v>
      </c>
      <c r="G203" s="118">
        <f>SUM(G204:G211)</f>
        <v>17211948.41</v>
      </c>
      <c r="H203" s="118">
        <f>SUM(H204:H211)</f>
        <v>3813836.9000000004</v>
      </c>
      <c r="I203" s="118">
        <f>SUM(I204:I211)</f>
        <v>3813836.9000000004</v>
      </c>
      <c r="J203" s="118">
        <f t="shared" si="31"/>
        <v>2.5531878971006874</v>
      </c>
      <c r="K203" s="116">
        <f>SUM(K204:K211)</f>
        <v>26191363.1</v>
      </c>
      <c r="L203" s="118">
        <f>SUM(L204:L211)</f>
        <v>0</v>
      </c>
    </row>
    <row r="204" spans="1:12" ht="12.75">
      <c r="A204" s="175" t="s">
        <v>455</v>
      </c>
      <c r="B204" s="118"/>
      <c r="C204" s="118"/>
      <c r="D204" s="118"/>
      <c r="E204" s="118"/>
      <c r="F204" s="118">
        <f t="shared" si="30"/>
        <v>0</v>
      </c>
      <c r="G204" s="118">
        <f aca="true" t="shared" si="36" ref="G204:G213">C204-E204</f>
        <v>0</v>
      </c>
      <c r="H204" s="118"/>
      <c r="I204" s="118"/>
      <c r="J204" s="118">
        <f t="shared" si="31"/>
        <v>0</v>
      </c>
      <c r="K204" s="116">
        <f aca="true" t="shared" si="37" ref="K204:K213">C204-I204</f>
        <v>0</v>
      </c>
      <c r="L204" s="118"/>
    </row>
    <row r="205" spans="1:12" ht="12.75">
      <c r="A205" s="175" t="s">
        <v>456</v>
      </c>
      <c r="B205" s="118"/>
      <c r="C205" s="118"/>
      <c r="D205" s="118"/>
      <c r="E205" s="118"/>
      <c r="F205" s="118">
        <f t="shared" si="30"/>
        <v>0</v>
      </c>
      <c r="G205" s="118">
        <f t="shared" si="36"/>
        <v>0</v>
      </c>
      <c r="H205" s="118"/>
      <c r="I205" s="118"/>
      <c r="J205" s="118">
        <f t="shared" si="31"/>
        <v>0</v>
      </c>
      <c r="K205" s="116">
        <f t="shared" si="37"/>
        <v>0</v>
      </c>
      <c r="L205" s="118"/>
    </row>
    <row r="206" spans="1:12" ht="12.75">
      <c r="A206" s="175" t="s">
        <v>457</v>
      </c>
      <c r="B206" s="118">
        <v>13000000</v>
      </c>
      <c r="C206" s="118">
        <v>13000000</v>
      </c>
      <c r="D206" s="118">
        <v>1667991.3</v>
      </c>
      <c r="E206" s="118">
        <v>1667991.3</v>
      </c>
      <c r="F206" s="118">
        <f t="shared" si="30"/>
        <v>0.3590326255843186</v>
      </c>
      <c r="G206" s="118">
        <f t="shared" si="36"/>
        <v>11332008.7</v>
      </c>
      <c r="H206" s="118">
        <v>1667991.3</v>
      </c>
      <c r="I206" s="118">
        <v>1667991.3</v>
      </c>
      <c r="J206" s="118">
        <f t="shared" si="31"/>
        <v>1.1166432417781793</v>
      </c>
      <c r="K206" s="116">
        <f t="shared" si="37"/>
        <v>11332008.7</v>
      </c>
      <c r="L206" s="118"/>
    </row>
    <row r="207" spans="1:12" ht="12.75">
      <c r="A207" s="175" t="s">
        <v>458</v>
      </c>
      <c r="B207" s="118"/>
      <c r="C207" s="118"/>
      <c r="D207" s="118"/>
      <c r="E207" s="118"/>
      <c r="F207" s="118">
        <f t="shared" si="30"/>
        <v>0</v>
      </c>
      <c r="G207" s="118">
        <f t="shared" si="36"/>
        <v>0</v>
      </c>
      <c r="H207" s="118"/>
      <c r="I207" s="118"/>
      <c r="J207" s="118">
        <f t="shared" si="31"/>
        <v>0</v>
      </c>
      <c r="K207" s="116">
        <f t="shared" si="37"/>
        <v>0</v>
      </c>
      <c r="L207" s="118"/>
    </row>
    <row r="208" spans="1:12" ht="12.75">
      <c r="A208" s="175" t="s">
        <v>459</v>
      </c>
      <c r="B208" s="118"/>
      <c r="C208" s="118"/>
      <c r="D208" s="118"/>
      <c r="E208" s="118"/>
      <c r="F208" s="118">
        <f t="shared" si="30"/>
        <v>0</v>
      </c>
      <c r="G208" s="118">
        <f t="shared" si="36"/>
        <v>0</v>
      </c>
      <c r="H208" s="118"/>
      <c r="I208" s="118"/>
      <c r="J208" s="118">
        <f t="shared" si="31"/>
        <v>0</v>
      </c>
      <c r="K208" s="116">
        <f t="shared" si="37"/>
        <v>0</v>
      </c>
      <c r="L208" s="118"/>
    </row>
    <row r="209" spans="1:12" ht="12.75">
      <c r="A209" s="175" t="s">
        <v>460</v>
      </c>
      <c r="B209" s="118">
        <v>17005200</v>
      </c>
      <c r="C209" s="118">
        <v>17005200</v>
      </c>
      <c r="D209" s="118">
        <v>11125260.29</v>
      </c>
      <c r="E209" s="118">
        <v>11125260.29</v>
      </c>
      <c r="F209" s="118">
        <f t="shared" si="30"/>
        <v>2.3946955911746404</v>
      </c>
      <c r="G209" s="118">
        <f t="shared" si="36"/>
        <v>5879939.710000001</v>
      </c>
      <c r="H209" s="118">
        <v>2145845.6</v>
      </c>
      <c r="I209" s="118">
        <v>2145845.6</v>
      </c>
      <c r="J209" s="118">
        <f t="shared" si="31"/>
        <v>1.436544655322508</v>
      </c>
      <c r="K209" s="116">
        <f t="shared" si="37"/>
        <v>14859354.4</v>
      </c>
      <c r="L209" s="118"/>
    </row>
    <row r="210" spans="1:12" ht="12.75">
      <c r="A210" s="175" t="s">
        <v>620</v>
      </c>
      <c r="B210" s="118"/>
      <c r="C210" s="118"/>
      <c r="D210" s="118"/>
      <c r="E210" s="118"/>
      <c r="F210" s="118">
        <f t="shared" si="30"/>
        <v>0</v>
      </c>
      <c r="G210" s="118">
        <f t="shared" si="36"/>
        <v>0</v>
      </c>
      <c r="H210" s="118"/>
      <c r="I210" s="118"/>
      <c r="J210" s="118">
        <f t="shared" si="31"/>
        <v>0</v>
      </c>
      <c r="K210" s="116">
        <f t="shared" si="37"/>
        <v>0</v>
      </c>
      <c r="L210" s="118"/>
    </row>
    <row r="211" spans="1:12" ht="12.75">
      <c r="A211" s="175" t="s">
        <v>363</v>
      </c>
      <c r="B211" s="118"/>
      <c r="C211" s="118"/>
      <c r="D211" s="118"/>
      <c r="E211" s="118"/>
      <c r="F211" s="118">
        <f t="shared" si="30"/>
        <v>0</v>
      </c>
      <c r="G211" s="118">
        <f t="shared" si="36"/>
        <v>0</v>
      </c>
      <c r="H211" s="118"/>
      <c r="I211" s="118"/>
      <c r="J211" s="118">
        <f t="shared" si="31"/>
        <v>0</v>
      </c>
      <c r="K211" s="116">
        <f t="shared" si="37"/>
        <v>0</v>
      </c>
      <c r="L211" s="118"/>
    </row>
    <row r="212" spans="1:12" ht="12.75">
      <c r="A212" s="174" t="s">
        <v>65</v>
      </c>
      <c r="B212" s="129">
        <v>41867800</v>
      </c>
      <c r="C212" s="129">
        <v>41867800</v>
      </c>
      <c r="D212" s="154"/>
      <c r="E212" s="154"/>
      <c r="F212" s="154"/>
      <c r="G212" s="129">
        <f t="shared" si="36"/>
        <v>41867800</v>
      </c>
      <c r="H212" s="154"/>
      <c r="I212" s="154"/>
      <c r="J212" s="154"/>
      <c r="K212" s="129">
        <f t="shared" si="37"/>
        <v>41867800</v>
      </c>
      <c r="L212" s="154"/>
    </row>
    <row r="213" spans="1:12" ht="12.75">
      <c r="A213" s="174" t="s">
        <v>167</v>
      </c>
      <c r="B213" s="118">
        <f>B222</f>
        <v>102125100</v>
      </c>
      <c r="C213" s="118">
        <f>C222</f>
        <v>102295220</v>
      </c>
      <c r="D213" s="118">
        <f>D222</f>
        <v>16331647.7</v>
      </c>
      <c r="E213" s="118">
        <f>E222</f>
        <v>16331647.7</v>
      </c>
      <c r="F213" s="118">
        <f>IF($E$214&gt;0,E213/$E$214,0)*100</f>
        <v>3.5153626723647164</v>
      </c>
      <c r="G213" s="118">
        <f t="shared" si="36"/>
        <v>85963572.3</v>
      </c>
      <c r="H213" s="118">
        <f>H222</f>
        <v>14400302.110000001</v>
      </c>
      <c r="I213" s="118">
        <f>I222</f>
        <v>14400302.110000001</v>
      </c>
      <c r="J213" s="118">
        <f>IF($I$214&gt;0,I213/$I$214,0)*100</f>
        <v>9.64033807052564</v>
      </c>
      <c r="K213" s="116">
        <f t="shared" si="37"/>
        <v>87894917.89</v>
      </c>
      <c r="L213" s="118">
        <f>L222</f>
        <v>0</v>
      </c>
    </row>
    <row r="214" spans="1:12" ht="12.75">
      <c r="A214" s="552" t="s">
        <v>168</v>
      </c>
      <c r="B214" s="129">
        <f>B213+B20</f>
        <v>1200000000</v>
      </c>
      <c r="C214" s="129">
        <f>C213+C20</f>
        <v>1248921085.3</v>
      </c>
      <c r="D214" s="129">
        <f>D213+D20</f>
        <v>464579311.5</v>
      </c>
      <c r="E214" s="129">
        <f>E213+E20</f>
        <v>464579311.5</v>
      </c>
      <c r="F214" s="129">
        <f>IF($E$214&gt;0,E214/$E$214,0)*100</f>
        <v>100</v>
      </c>
      <c r="G214" s="129">
        <f>G213+G20</f>
        <v>784341773.7999998</v>
      </c>
      <c r="H214" s="129">
        <f>H213+H20</f>
        <v>149375488.75000006</v>
      </c>
      <c r="I214" s="129">
        <f>I213+I20</f>
        <v>149375488.75000006</v>
      </c>
      <c r="J214" s="129">
        <f>IF($I$214&gt;0,I214/$I$214,0)*100</f>
        <v>100</v>
      </c>
      <c r="K214" s="128">
        <f>K213+K20</f>
        <v>1099545596.55</v>
      </c>
      <c r="L214" s="129">
        <f>L213+L20</f>
        <v>0</v>
      </c>
    </row>
    <row r="215" spans="1:12" ht="12.75">
      <c r="A215" s="736"/>
      <c r="B215" s="743"/>
      <c r="C215" s="743"/>
      <c r="D215" s="743"/>
      <c r="E215" s="743"/>
      <c r="F215" s="743"/>
      <c r="G215" s="743"/>
      <c r="H215" s="743"/>
      <c r="I215" s="743"/>
      <c r="J215" s="743"/>
      <c r="K215" s="743"/>
      <c r="L215" s="743"/>
    </row>
    <row r="216" spans="1:12" ht="12.75">
      <c r="A216" s="744"/>
      <c r="B216" s="744"/>
      <c r="C216" s="744"/>
      <c r="D216" s="156"/>
      <c r="E216" s="156"/>
      <c r="F216" s="156"/>
      <c r="G216" s="156"/>
      <c r="H216" s="156"/>
      <c r="I216" s="156"/>
      <c r="J216" s="156"/>
      <c r="K216" s="156"/>
      <c r="L216" s="156"/>
    </row>
    <row r="217" spans="1:12" ht="12.75">
      <c r="A217" s="752"/>
      <c r="B217" s="752"/>
      <c r="C217" s="752"/>
      <c r="D217" s="752"/>
      <c r="E217" s="752"/>
      <c r="F217" s="752"/>
      <c r="G217" s="752"/>
      <c r="H217" s="752"/>
      <c r="I217" s="752"/>
      <c r="J217" s="752"/>
      <c r="K217" s="156"/>
      <c r="L217" s="156"/>
    </row>
    <row r="218" s="173" customFormat="1" ht="11.25" customHeight="1"/>
    <row r="219" spans="1:12" ht="24.75" customHeight="1">
      <c r="A219" s="536"/>
      <c r="B219" s="546" t="s">
        <v>103</v>
      </c>
      <c r="C219" s="546" t="s">
        <v>103</v>
      </c>
      <c r="D219" s="749" t="s">
        <v>104</v>
      </c>
      <c r="E219" s="750"/>
      <c r="F219" s="751"/>
      <c r="G219" s="547" t="s">
        <v>107</v>
      </c>
      <c r="H219" s="746" t="s">
        <v>105</v>
      </c>
      <c r="I219" s="747"/>
      <c r="J219" s="748"/>
      <c r="K219" s="547" t="s">
        <v>107</v>
      </c>
      <c r="L219" s="753" t="s">
        <v>814</v>
      </c>
    </row>
    <row r="220" spans="1:12" ht="20.25" customHeight="1">
      <c r="A220" s="549" t="s">
        <v>114</v>
      </c>
      <c r="B220" s="550" t="s">
        <v>74</v>
      </c>
      <c r="C220" s="550" t="s">
        <v>75</v>
      </c>
      <c r="D220" s="546" t="str">
        <f>D18</f>
        <v>No Bimestre</v>
      </c>
      <c r="E220" s="546" t="str">
        <f>E18</f>
        <v>Até o  Bimestre</v>
      </c>
      <c r="F220" s="546" t="s">
        <v>77</v>
      </c>
      <c r="G220" s="529"/>
      <c r="H220" s="546" t="str">
        <f>H18</f>
        <v>No Bimestre</v>
      </c>
      <c r="I220" s="546" t="str">
        <f>I18</f>
        <v>Até o  Bimestre</v>
      </c>
      <c r="J220" s="546" t="s">
        <v>77</v>
      </c>
      <c r="K220" s="529"/>
      <c r="L220" s="754"/>
    </row>
    <row r="221" spans="1:12" ht="21.75" customHeight="1">
      <c r="A221" s="540"/>
      <c r="B221" s="551"/>
      <c r="C221" s="534" t="s">
        <v>79</v>
      </c>
      <c r="D221" s="534"/>
      <c r="E221" s="534" t="s">
        <v>80</v>
      </c>
      <c r="F221" s="534" t="s">
        <v>36</v>
      </c>
      <c r="G221" s="542" t="s">
        <v>257</v>
      </c>
      <c r="H221" s="534"/>
      <c r="I221" s="534" t="s">
        <v>108</v>
      </c>
      <c r="J221" s="534" t="s">
        <v>590</v>
      </c>
      <c r="K221" s="542" t="s">
        <v>589</v>
      </c>
      <c r="L221" s="755"/>
    </row>
    <row r="222" spans="1:12" ht="11.25" customHeight="1">
      <c r="A222" s="131" t="s">
        <v>167</v>
      </c>
      <c r="B222" s="118">
        <f>B223+B228+B233+B238+B251+B257+B263+B268+B275+B282+B291+B298+B309+B314+B320+B326+B331+B336+B344+B350+B358+B363+B371+B379+B384+B391+B399+B405+B414</f>
        <v>102125100</v>
      </c>
      <c r="C222" s="118">
        <f>C223+C228+C233+C238+C251+C257+C263+C268+C275+C282+C291+C298+C309+C314+C320+C326+C331+C336+C344+C350+C358+C363+C371+C379+C384+C391+C399+C405+C414</f>
        <v>102295220</v>
      </c>
      <c r="D222" s="118">
        <f>D223+D228+D233+D238+D251+D257+D263+D268+D275+D282+D291+D298+D309+D314+D320+D326+D331+D336+D344+D350+D358+D363+D371+D379+D384+D391+D399+D405+D414</f>
        <v>16331647.7</v>
      </c>
      <c r="E222" s="118">
        <f>E223+E228+E233+E238+E251+E257+E263+E268+E275+E282+E291+E298+E309+E314+E320+E326+E331+E336+E344+E350+E358+E363+E371+E379+E384+E391+E399+E405+E414</f>
        <v>16331647.7</v>
      </c>
      <c r="F222" s="118">
        <f aca="true" t="shared" si="38" ref="F222:F253">IF($E$214&gt;0,E222/$E$214,0)*100</f>
        <v>3.5153626723647164</v>
      </c>
      <c r="G222" s="118">
        <f>G223+G228+G233+G238+G251+G257+G263+G268+G275+G282+G291+G298+G309+G314+G320+G326+G331+G336+G344+G350+G358+G363+G371+G379+G384+G391+G399+G405+G414</f>
        <v>85963572.3</v>
      </c>
      <c r="H222" s="118">
        <f>H223+H228+H233+H238+H251+H257+H263+H268+H275+H282+H291+H298+H309+H314+H320+H326+H331+H336+H344+H350+H358+H363+H371+H379+H384+H391+H399+H405+H414</f>
        <v>14400302.110000001</v>
      </c>
      <c r="I222" s="118">
        <f>I223+I228+I233+I238+I251+I257+I263+I268+I275+I282+I291+I298+I309+I314+I320+I326+I331+I336+I344+I350+I358+I363+I371+I379+I384+I391+I399+I405+I414</f>
        <v>14400302.110000001</v>
      </c>
      <c r="J222" s="116">
        <f aca="true" t="shared" si="39" ref="J222:J253">IF($I$214&gt;0,I222/$I$214,0)*100</f>
        <v>9.64033807052564</v>
      </c>
      <c r="K222" s="116">
        <f>K223+K228+K233+K238+K251+K257+K263+K268+K275+K282+K291+K298+K309+K314+K320+K326+K331+K336+K344+K350+K358+K363+K371+K379+K384+K391+K399+K405+K414</f>
        <v>87894917.89</v>
      </c>
      <c r="L222" s="119">
        <f>L223+L228+L233+L238+L251+L257+L263+L268+L275+L282+L291+L298+L309+L314+L320+L326+L331+L336+L344+L350+L358+L363+L371+L379+L384+L391+L399+L405+L414</f>
        <v>0</v>
      </c>
    </row>
    <row r="223" spans="1:12" ht="11.25" customHeight="1">
      <c r="A223" s="174" t="s">
        <v>248</v>
      </c>
      <c r="B223" s="118">
        <f>SUM(B224:B227)</f>
        <v>1825000</v>
      </c>
      <c r="C223" s="118">
        <f>SUM(C224:C227)</f>
        <v>1825000</v>
      </c>
      <c r="D223" s="118">
        <f>SUM(D224:D227)</f>
        <v>102841.79</v>
      </c>
      <c r="E223" s="118">
        <f>SUM(E224:E227)</f>
        <v>102841.79</v>
      </c>
      <c r="F223" s="118">
        <f t="shared" si="38"/>
        <v>0.02213654104999895</v>
      </c>
      <c r="G223" s="118">
        <f>SUM(G224:G227)</f>
        <v>1722158.21</v>
      </c>
      <c r="H223" s="118">
        <f>SUM(H224:H227)</f>
        <v>102841.79</v>
      </c>
      <c r="I223" s="118">
        <f>SUM(I224:I227)</f>
        <v>102841.79</v>
      </c>
      <c r="J223" s="116">
        <f t="shared" si="39"/>
        <v>0.06884783498323446</v>
      </c>
      <c r="K223" s="116">
        <f>SUM(K224:K227)</f>
        <v>1722158.21</v>
      </c>
      <c r="L223" s="118">
        <f>SUM(L224:L227)</f>
        <v>0</v>
      </c>
    </row>
    <row r="224" spans="1:12" ht="11.25" customHeight="1">
      <c r="A224" s="175" t="s">
        <v>361</v>
      </c>
      <c r="B224" s="149">
        <v>1825000</v>
      </c>
      <c r="C224" s="118">
        <v>1825000</v>
      </c>
      <c r="D224" s="118">
        <v>102841.79</v>
      </c>
      <c r="E224" s="118">
        <v>102841.79</v>
      </c>
      <c r="F224" s="118">
        <f t="shared" si="38"/>
        <v>0.02213654104999895</v>
      </c>
      <c r="G224" s="118">
        <f>C224-E224</f>
        <v>1722158.21</v>
      </c>
      <c r="H224" s="118">
        <v>102841.79</v>
      </c>
      <c r="I224" s="118">
        <v>102841.79</v>
      </c>
      <c r="J224" s="116">
        <f t="shared" si="39"/>
        <v>0.06884783498323446</v>
      </c>
      <c r="K224" s="116">
        <f>C224-I224</f>
        <v>1722158.21</v>
      </c>
      <c r="L224" s="118"/>
    </row>
    <row r="225" spans="1:12" ht="11.25" customHeight="1">
      <c r="A225" s="175" t="s">
        <v>362</v>
      </c>
      <c r="B225" s="149"/>
      <c r="C225" s="118"/>
      <c r="D225" s="118"/>
      <c r="E225" s="118"/>
      <c r="F225" s="118">
        <f t="shared" si="38"/>
        <v>0</v>
      </c>
      <c r="G225" s="118">
        <f>C225-E225</f>
        <v>0</v>
      </c>
      <c r="H225" s="118"/>
      <c r="I225" s="118"/>
      <c r="J225" s="116">
        <f t="shared" si="39"/>
        <v>0</v>
      </c>
      <c r="K225" s="116">
        <f>C225-I225</f>
        <v>0</v>
      </c>
      <c r="L225" s="118"/>
    </row>
    <row r="226" spans="1:12" ht="11.25" customHeight="1">
      <c r="A226" s="175" t="s">
        <v>369</v>
      </c>
      <c r="B226" s="149"/>
      <c r="C226" s="118"/>
      <c r="D226" s="118"/>
      <c r="E226" s="118"/>
      <c r="F226" s="118">
        <f t="shared" si="38"/>
        <v>0</v>
      </c>
      <c r="G226" s="118">
        <f>C226-E226</f>
        <v>0</v>
      </c>
      <c r="H226" s="118"/>
      <c r="I226" s="118"/>
      <c r="J226" s="116">
        <f t="shared" si="39"/>
        <v>0</v>
      </c>
      <c r="K226" s="116">
        <f>C226-I226</f>
        <v>0</v>
      </c>
      <c r="L226" s="118"/>
    </row>
    <row r="227" spans="1:12" ht="11.25" customHeight="1">
      <c r="A227" s="175" t="s">
        <v>363</v>
      </c>
      <c r="B227" s="149"/>
      <c r="C227" s="118"/>
      <c r="D227" s="118"/>
      <c r="E227" s="118"/>
      <c r="F227" s="118">
        <f t="shared" si="38"/>
        <v>0</v>
      </c>
      <c r="G227" s="118">
        <f>C227-E227</f>
        <v>0</v>
      </c>
      <c r="H227" s="118"/>
      <c r="I227" s="118"/>
      <c r="J227" s="118">
        <f t="shared" si="39"/>
        <v>0</v>
      </c>
      <c r="K227" s="116">
        <f>C227-I227</f>
        <v>0</v>
      </c>
      <c r="L227" s="118"/>
    </row>
    <row r="228" spans="1:12" ht="11.25" customHeight="1">
      <c r="A228" s="174" t="s">
        <v>249</v>
      </c>
      <c r="B228" s="118">
        <f>SUM(B229:B232)</f>
        <v>0</v>
      </c>
      <c r="C228" s="118">
        <f>SUM(C229:C232)</f>
        <v>0</v>
      </c>
      <c r="D228" s="118">
        <f>SUM(D229:D232)</f>
        <v>0</v>
      </c>
      <c r="E228" s="118">
        <f>SUM(E229:E232)</f>
        <v>0</v>
      </c>
      <c r="F228" s="118">
        <f t="shared" si="38"/>
        <v>0</v>
      </c>
      <c r="G228" s="118">
        <f>SUM(G229:G232)</f>
        <v>0</v>
      </c>
      <c r="H228" s="118">
        <f>SUM(H229:H232)</f>
        <v>0</v>
      </c>
      <c r="I228" s="118">
        <f>SUM(I229:I232)</f>
        <v>0</v>
      </c>
      <c r="J228" s="118">
        <f t="shared" si="39"/>
        <v>0</v>
      </c>
      <c r="K228" s="116">
        <f>SUM(K229:K232)</f>
        <v>0</v>
      </c>
      <c r="L228" s="118">
        <f>SUM(L229:L232)</f>
        <v>0</v>
      </c>
    </row>
    <row r="229" spans="1:12" ht="11.25" customHeight="1">
      <c r="A229" s="175" t="s">
        <v>364</v>
      </c>
      <c r="B229" s="118"/>
      <c r="C229" s="118"/>
      <c r="D229" s="118"/>
      <c r="E229" s="118"/>
      <c r="F229" s="118">
        <f t="shared" si="38"/>
        <v>0</v>
      </c>
      <c r="G229" s="118">
        <f>C229-E229</f>
        <v>0</v>
      </c>
      <c r="H229" s="118"/>
      <c r="I229" s="118"/>
      <c r="J229" s="118">
        <f t="shared" si="39"/>
        <v>0</v>
      </c>
      <c r="K229" s="116">
        <f>C229-I229</f>
        <v>0</v>
      </c>
      <c r="L229" s="118"/>
    </row>
    <row r="230" spans="1:12" ht="11.25" customHeight="1">
      <c r="A230" s="175" t="s">
        <v>365</v>
      </c>
      <c r="B230" s="118"/>
      <c r="C230" s="118"/>
      <c r="D230" s="118"/>
      <c r="E230" s="118"/>
      <c r="F230" s="118">
        <f t="shared" si="38"/>
        <v>0</v>
      </c>
      <c r="G230" s="118">
        <f>C230-E230</f>
        <v>0</v>
      </c>
      <c r="H230" s="118"/>
      <c r="I230" s="118"/>
      <c r="J230" s="118">
        <f t="shared" si="39"/>
        <v>0</v>
      </c>
      <c r="K230" s="116">
        <f>C230-I230</f>
        <v>0</v>
      </c>
      <c r="L230" s="118"/>
    </row>
    <row r="231" spans="1:12" ht="11.25" customHeight="1">
      <c r="A231" s="175" t="s">
        <v>369</v>
      </c>
      <c r="B231" s="118"/>
      <c r="C231" s="118"/>
      <c r="D231" s="118"/>
      <c r="E231" s="118"/>
      <c r="F231" s="118">
        <f t="shared" si="38"/>
        <v>0</v>
      </c>
      <c r="G231" s="118">
        <f>C231-E231</f>
        <v>0</v>
      </c>
      <c r="H231" s="118"/>
      <c r="I231" s="118"/>
      <c r="J231" s="118">
        <f t="shared" si="39"/>
        <v>0</v>
      </c>
      <c r="K231" s="116">
        <f>C231-I231</f>
        <v>0</v>
      </c>
      <c r="L231" s="118"/>
    </row>
    <row r="232" spans="1:12" ht="11.25" customHeight="1">
      <c r="A232" s="175" t="s">
        <v>363</v>
      </c>
      <c r="B232" s="118"/>
      <c r="C232" s="118"/>
      <c r="D232" s="118"/>
      <c r="E232" s="118"/>
      <c r="F232" s="118">
        <f t="shared" si="38"/>
        <v>0</v>
      </c>
      <c r="G232" s="118">
        <f>C232-E232</f>
        <v>0</v>
      </c>
      <c r="H232" s="118"/>
      <c r="I232" s="118"/>
      <c r="J232" s="118">
        <f t="shared" si="39"/>
        <v>0</v>
      </c>
      <c r="K232" s="116">
        <f>C232-I232</f>
        <v>0</v>
      </c>
      <c r="L232" s="118"/>
    </row>
    <row r="233" spans="1:12" ht="11.25" customHeight="1">
      <c r="A233" s="174" t="s">
        <v>250</v>
      </c>
      <c r="B233" s="118">
        <f>SUM(B234:B237)</f>
        <v>0</v>
      </c>
      <c r="C233" s="118">
        <f>SUM(C234:C237)</f>
        <v>0</v>
      </c>
      <c r="D233" s="118">
        <f>SUM(D234:D237)</f>
        <v>0</v>
      </c>
      <c r="E233" s="118">
        <f>SUM(E234:E237)</f>
        <v>0</v>
      </c>
      <c r="F233" s="118">
        <f t="shared" si="38"/>
        <v>0</v>
      </c>
      <c r="G233" s="118">
        <f>SUM(G234:G237)</f>
        <v>0</v>
      </c>
      <c r="H233" s="118">
        <f>SUM(H234:H237)</f>
        <v>0</v>
      </c>
      <c r="I233" s="118">
        <f>SUM(I234:I237)</f>
        <v>0</v>
      </c>
      <c r="J233" s="118">
        <f t="shared" si="39"/>
        <v>0</v>
      </c>
      <c r="K233" s="116">
        <f>SUM(K234:K237)</f>
        <v>0</v>
      </c>
      <c r="L233" s="118">
        <f>SUM(L234:L237)</f>
        <v>0</v>
      </c>
    </row>
    <row r="234" spans="1:12" ht="11.25" customHeight="1">
      <c r="A234" s="175" t="s">
        <v>366</v>
      </c>
      <c r="B234" s="118"/>
      <c r="C234" s="118"/>
      <c r="D234" s="118"/>
      <c r="E234" s="118"/>
      <c r="F234" s="118">
        <f t="shared" si="38"/>
        <v>0</v>
      </c>
      <c r="G234" s="118">
        <f>C234-E234</f>
        <v>0</v>
      </c>
      <c r="H234" s="118"/>
      <c r="I234" s="118"/>
      <c r="J234" s="118">
        <f t="shared" si="39"/>
        <v>0</v>
      </c>
      <c r="K234" s="116">
        <f>C234-I234</f>
        <v>0</v>
      </c>
      <c r="L234" s="118"/>
    </row>
    <row r="235" spans="1:12" ht="11.25" customHeight="1">
      <c r="A235" s="175" t="s">
        <v>367</v>
      </c>
      <c r="B235" s="118"/>
      <c r="C235" s="118"/>
      <c r="D235" s="118"/>
      <c r="E235" s="118"/>
      <c r="F235" s="118">
        <f t="shared" si="38"/>
        <v>0</v>
      </c>
      <c r="G235" s="118">
        <f>C235-E235</f>
        <v>0</v>
      </c>
      <c r="H235" s="118"/>
      <c r="I235" s="118"/>
      <c r="J235" s="118">
        <f t="shared" si="39"/>
        <v>0</v>
      </c>
      <c r="K235" s="116">
        <f>C235-I235</f>
        <v>0</v>
      </c>
      <c r="L235" s="118"/>
    </row>
    <row r="236" spans="1:12" ht="11.25" customHeight="1">
      <c r="A236" s="175" t="s">
        <v>369</v>
      </c>
      <c r="B236" s="118"/>
      <c r="C236" s="118"/>
      <c r="D236" s="118"/>
      <c r="E236" s="118"/>
      <c r="F236" s="118">
        <f t="shared" si="38"/>
        <v>0</v>
      </c>
      <c r="G236" s="118">
        <f>C236-E236</f>
        <v>0</v>
      </c>
      <c r="H236" s="118"/>
      <c r="I236" s="118"/>
      <c r="J236" s="118">
        <f t="shared" si="39"/>
        <v>0</v>
      </c>
      <c r="K236" s="116">
        <f>C236-I236</f>
        <v>0</v>
      </c>
      <c r="L236" s="118"/>
    </row>
    <row r="237" spans="1:12" ht="11.25" customHeight="1">
      <c r="A237" s="175" t="s">
        <v>363</v>
      </c>
      <c r="B237" s="118"/>
      <c r="C237" s="118"/>
      <c r="D237" s="118"/>
      <c r="E237" s="118"/>
      <c r="F237" s="118">
        <f t="shared" si="38"/>
        <v>0</v>
      </c>
      <c r="G237" s="118">
        <f>C237-E237</f>
        <v>0</v>
      </c>
      <c r="H237" s="118"/>
      <c r="I237" s="118"/>
      <c r="J237" s="118">
        <f t="shared" si="39"/>
        <v>0</v>
      </c>
      <c r="K237" s="116">
        <f>C237-I237</f>
        <v>0</v>
      </c>
      <c r="L237" s="118"/>
    </row>
    <row r="238" spans="1:12" ht="11.25" customHeight="1">
      <c r="A238" s="174" t="s">
        <v>258</v>
      </c>
      <c r="B238" s="118">
        <f>SUM(B239:B250)</f>
        <v>7690000</v>
      </c>
      <c r="C238" s="118">
        <f>SUM(C239:C250)</f>
        <v>7690120</v>
      </c>
      <c r="D238" s="118">
        <f>SUM(D239:D250)</f>
        <v>1189383.07</v>
      </c>
      <c r="E238" s="118">
        <f>SUM(E239:E250)</f>
        <v>1189383.07</v>
      </c>
      <c r="F238" s="118">
        <f t="shared" si="38"/>
        <v>0.25601292191850006</v>
      </c>
      <c r="G238" s="118">
        <f>SUM(G239:G250)</f>
        <v>6500736.93</v>
      </c>
      <c r="H238" s="118">
        <f>SUM(H239:H250)</f>
        <v>1104893.07</v>
      </c>
      <c r="I238" s="118">
        <f>SUM(I239:I250)</f>
        <v>1104893.07</v>
      </c>
      <c r="J238" s="118">
        <f t="shared" si="39"/>
        <v>0.7396749488459831</v>
      </c>
      <c r="K238" s="116">
        <f>SUM(K239:K250)</f>
        <v>6585226.93</v>
      </c>
      <c r="L238" s="118">
        <f>SUM(L239:L250)</f>
        <v>0</v>
      </c>
    </row>
    <row r="239" spans="1:12" ht="11.25" customHeight="1">
      <c r="A239" s="175" t="s">
        <v>368</v>
      </c>
      <c r="B239" s="118"/>
      <c r="C239" s="118"/>
      <c r="D239" s="118"/>
      <c r="E239" s="118"/>
      <c r="F239" s="118">
        <f t="shared" si="38"/>
        <v>0</v>
      </c>
      <c r="G239" s="118">
        <f aca="true" t="shared" si="40" ref="G239:G250">C239-E239</f>
        <v>0</v>
      </c>
      <c r="H239" s="118"/>
      <c r="I239" s="118"/>
      <c r="J239" s="118">
        <f t="shared" si="39"/>
        <v>0</v>
      </c>
      <c r="K239" s="116">
        <f aca="true" t="shared" si="41" ref="K239:K250">C239-I239</f>
        <v>0</v>
      </c>
      <c r="L239" s="118"/>
    </row>
    <row r="240" spans="1:12" ht="11.25" customHeight="1">
      <c r="A240" s="175" t="s">
        <v>369</v>
      </c>
      <c r="B240" s="118">
        <v>4335000</v>
      </c>
      <c r="C240" s="118">
        <v>4335000</v>
      </c>
      <c r="D240" s="118">
        <v>706553.12</v>
      </c>
      <c r="E240" s="118">
        <v>706553.12</v>
      </c>
      <c r="F240" s="118">
        <f t="shared" si="38"/>
        <v>0.1520844993546382</v>
      </c>
      <c r="G240" s="118">
        <f t="shared" si="40"/>
        <v>3628446.88</v>
      </c>
      <c r="H240" s="118">
        <v>628583.12</v>
      </c>
      <c r="I240" s="118">
        <v>628583.12</v>
      </c>
      <c r="J240" s="118">
        <f t="shared" si="39"/>
        <v>0.42080740639585</v>
      </c>
      <c r="K240" s="116">
        <f t="shared" si="41"/>
        <v>3706416.88</v>
      </c>
      <c r="L240" s="118"/>
    </row>
    <row r="241" spans="1:12" ht="11.25" customHeight="1">
      <c r="A241" s="175" t="s">
        <v>370</v>
      </c>
      <c r="B241" s="118">
        <v>1510000</v>
      </c>
      <c r="C241" s="118">
        <v>1510000</v>
      </c>
      <c r="D241" s="118">
        <v>215514.32</v>
      </c>
      <c r="E241" s="118">
        <v>215514.32</v>
      </c>
      <c r="F241" s="118">
        <f t="shared" si="38"/>
        <v>0.04638913414033935</v>
      </c>
      <c r="G241" s="118">
        <f t="shared" si="40"/>
        <v>1294485.68</v>
      </c>
      <c r="H241" s="118">
        <v>209114.32</v>
      </c>
      <c r="I241" s="118">
        <v>209114.32</v>
      </c>
      <c r="J241" s="118">
        <f t="shared" si="39"/>
        <v>0.13999239215878376</v>
      </c>
      <c r="K241" s="116">
        <f t="shared" si="41"/>
        <v>1300885.68</v>
      </c>
      <c r="L241" s="118"/>
    </row>
    <row r="242" spans="1:12" ht="11.25" customHeight="1">
      <c r="A242" s="175" t="s">
        <v>371</v>
      </c>
      <c r="B242" s="118">
        <v>135000</v>
      </c>
      <c r="C242" s="118">
        <v>135000</v>
      </c>
      <c r="D242" s="118">
        <v>15196.47</v>
      </c>
      <c r="E242" s="118">
        <v>15196.47</v>
      </c>
      <c r="F242" s="118">
        <f t="shared" si="38"/>
        <v>0.003271017375038664</v>
      </c>
      <c r="G242" s="118">
        <f t="shared" si="40"/>
        <v>119803.53</v>
      </c>
      <c r="H242" s="118">
        <v>15196.47</v>
      </c>
      <c r="I242" s="118">
        <v>15196.47</v>
      </c>
      <c r="J242" s="118">
        <f t="shared" si="39"/>
        <v>0.010173335750842852</v>
      </c>
      <c r="K242" s="116">
        <f t="shared" si="41"/>
        <v>119803.53</v>
      </c>
      <c r="L242" s="118"/>
    </row>
    <row r="243" spans="1:12" ht="11.25" customHeight="1">
      <c r="A243" s="175" t="s">
        <v>372</v>
      </c>
      <c r="B243" s="118"/>
      <c r="C243" s="118"/>
      <c r="D243" s="118"/>
      <c r="E243" s="118"/>
      <c r="F243" s="118">
        <f t="shared" si="38"/>
        <v>0</v>
      </c>
      <c r="G243" s="118">
        <f t="shared" si="40"/>
        <v>0</v>
      </c>
      <c r="H243" s="118"/>
      <c r="I243" s="118"/>
      <c r="J243" s="118">
        <f t="shared" si="39"/>
        <v>0</v>
      </c>
      <c r="K243" s="116">
        <f t="shared" si="41"/>
        <v>0</v>
      </c>
      <c r="L243" s="118"/>
    </row>
    <row r="244" spans="1:12" ht="11.25" customHeight="1">
      <c r="A244" s="175" t="s">
        <v>373</v>
      </c>
      <c r="B244" s="118"/>
      <c r="C244" s="118"/>
      <c r="D244" s="118"/>
      <c r="E244" s="118"/>
      <c r="F244" s="118">
        <f t="shared" si="38"/>
        <v>0</v>
      </c>
      <c r="G244" s="118">
        <f t="shared" si="40"/>
        <v>0</v>
      </c>
      <c r="H244" s="118"/>
      <c r="I244" s="118"/>
      <c r="J244" s="118">
        <f t="shared" si="39"/>
        <v>0</v>
      </c>
      <c r="K244" s="116">
        <f t="shared" si="41"/>
        <v>0</v>
      </c>
      <c r="L244" s="118"/>
    </row>
    <row r="245" spans="1:12" ht="11.25" customHeight="1">
      <c r="A245" s="175" t="s">
        <v>374</v>
      </c>
      <c r="B245" s="118">
        <v>1055000</v>
      </c>
      <c r="C245" s="118">
        <v>1055000</v>
      </c>
      <c r="D245" s="118">
        <v>158042.05</v>
      </c>
      <c r="E245" s="118">
        <v>158042.05</v>
      </c>
      <c r="F245" s="118">
        <f t="shared" si="38"/>
        <v>0.03401831422275892</v>
      </c>
      <c r="G245" s="118">
        <f t="shared" si="40"/>
        <v>896957.95</v>
      </c>
      <c r="H245" s="118">
        <v>158042.05</v>
      </c>
      <c r="I245" s="118">
        <v>158042.05</v>
      </c>
      <c r="J245" s="118">
        <f t="shared" si="39"/>
        <v>0.10580186302486654</v>
      </c>
      <c r="K245" s="116">
        <f t="shared" si="41"/>
        <v>896957.95</v>
      </c>
      <c r="L245" s="118"/>
    </row>
    <row r="246" spans="1:12" ht="11.25" customHeight="1">
      <c r="A246" s="175" t="s">
        <v>375</v>
      </c>
      <c r="B246" s="118"/>
      <c r="C246" s="118"/>
      <c r="D246" s="118"/>
      <c r="E246" s="118"/>
      <c r="F246" s="118">
        <f t="shared" si="38"/>
        <v>0</v>
      </c>
      <c r="G246" s="118">
        <f t="shared" si="40"/>
        <v>0</v>
      </c>
      <c r="H246" s="118"/>
      <c r="I246" s="118"/>
      <c r="J246" s="118">
        <f t="shared" si="39"/>
        <v>0</v>
      </c>
      <c r="K246" s="116">
        <f t="shared" si="41"/>
        <v>0</v>
      </c>
      <c r="L246" s="118"/>
    </row>
    <row r="247" spans="1:12" ht="11.25" customHeight="1">
      <c r="A247" s="175" t="s">
        <v>376</v>
      </c>
      <c r="B247" s="118"/>
      <c r="C247" s="118"/>
      <c r="D247" s="118"/>
      <c r="E247" s="118"/>
      <c r="F247" s="118">
        <f t="shared" si="38"/>
        <v>0</v>
      </c>
      <c r="G247" s="118">
        <f t="shared" si="40"/>
        <v>0</v>
      </c>
      <c r="H247" s="118"/>
      <c r="I247" s="118"/>
      <c r="J247" s="118">
        <f t="shared" si="39"/>
        <v>0</v>
      </c>
      <c r="K247" s="116">
        <f t="shared" si="41"/>
        <v>0</v>
      </c>
      <c r="L247" s="118"/>
    </row>
    <row r="248" spans="1:12" ht="11.25" customHeight="1">
      <c r="A248" s="175" t="s">
        <v>377</v>
      </c>
      <c r="B248" s="118"/>
      <c r="C248" s="118"/>
      <c r="D248" s="118"/>
      <c r="E248" s="118"/>
      <c r="F248" s="118">
        <f t="shared" si="38"/>
        <v>0</v>
      </c>
      <c r="G248" s="118">
        <f t="shared" si="40"/>
        <v>0</v>
      </c>
      <c r="H248" s="118"/>
      <c r="I248" s="118"/>
      <c r="J248" s="118">
        <f t="shared" si="39"/>
        <v>0</v>
      </c>
      <c r="K248" s="116">
        <f t="shared" si="41"/>
        <v>0</v>
      </c>
      <c r="L248" s="118"/>
    </row>
    <row r="249" spans="1:12" ht="11.25" customHeight="1">
      <c r="A249" s="175" t="s">
        <v>378</v>
      </c>
      <c r="B249" s="118">
        <v>655000</v>
      </c>
      <c r="C249" s="118">
        <v>655120</v>
      </c>
      <c r="D249" s="118">
        <v>94077.11</v>
      </c>
      <c r="E249" s="118">
        <v>94077.11</v>
      </c>
      <c r="F249" s="118">
        <f t="shared" si="38"/>
        <v>0.0202499568257249</v>
      </c>
      <c r="G249" s="118">
        <f t="shared" si="40"/>
        <v>561042.89</v>
      </c>
      <c r="H249" s="118">
        <v>93957.11</v>
      </c>
      <c r="I249" s="118">
        <v>93957.11</v>
      </c>
      <c r="J249" s="118">
        <f t="shared" si="39"/>
        <v>0.06289995151563979</v>
      </c>
      <c r="K249" s="116">
        <f t="shared" si="41"/>
        <v>561162.89</v>
      </c>
      <c r="L249" s="118"/>
    </row>
    <row r="250" spans="1:12" ht="11.25" customHeight="1">
      <c r="A250" s="175" t="s">
        <v>363</v>
      </c>
      <c r="B250" s="118"/>
      <c r="C250" s="118"/>
      <c r="D250" s="118"/>
      <c r="E250" s="118"/>
      <c r="F250" s="118">
        <f t="shared" si="38"/>
        <v>0</v>
      </c>
      <c r="G250" s="118">
        <f t="shared" si="40"/>
        <v>0</v>
      </c>
      <c r="H250" s="118"/>
      <c r="I250" s="118"/>
      <c r="J250" s="118">
        <f t="shared" si="39"/>
        <v>0</v>
      </c>
      <c r="K250" s="116">
        <f t="shared" si="41"/>
        <v>0</v>
      </c>
      <c r="L250" s="118"/>
    </row>
    <row r="251" spans="1:12" ht="11.25" customHeight="1">
      <c r="A251" s="174" t="s">
        <v>259</v>
      </c>
      <c r="B251" s="118">
        <f>SUM(B252:B256)</f>
        <v>0</v>
      </c>
      <c r="C251" s="118">
        <f>SUM(C252:C256)</f>
        <v>0</v>
      </c>
      <c r="D251" s="118">
        <f>SUM(D252:D256)</f>
        <v>0</v>
      </c>
      <c r="E251" s="118">
        <f>SUM(E252:E256)</f>
        <v>0</v>
      </c>
      <c r="F251" s="118">
        <f t="shared" si="38"/>
        <v>0</v>
      </c>
      <c r="G251" s="118">
        <f>SUM(G252:G256)</f>
        <v>0</v>
      </c>
      <c r="H251" s="118">
        <f>SUM(H252:H256)</f>
        <v>0</v>
      </c>
      <c r="I251" s="118">
        <f>SUM(I252:I256)</f>
        <v>0</v>
      </c>
      <c r="J251" s="118">
        <f t="shared" si="39"/>
        <v>0</v>
      </c>
      <c r="K251" s="116">
        <f>SUM(K252:K256)</f>
        <v>0</v>
      </c>
      <c r="L251" s="118">
        <f>SUM(L252:L256)</f>
        <v>0</v>
      </c>
    </row>
    <row r="252" spans="1:12" ht="11.25" customHeight="1">
      <c r="A252" s="175" t="s">
        <v>379</v>
      </c>
      <c r="B252" s="118"/>
      <c r="C252" s="118"/>
      <c r="D252" s="118"/>
      <c r="E252" s="118"/>
      <c r="F252" s="118">
        <f t="shared" si="38"/>
        <v>0</v>
      </c>
      <c r="G252" s="118">
        <f>C252-E252</f>
        <v>0</v>
      </c>
      <c r="H252" s="118"/>
      <c r="I252" s="118"/>
      <c r="J252" s="118">
        <f t="shared" si="39"/>
        <v>0</v>
      </c>
      <c r="K252" s="116">
        <f>C252-I252</f>
        <v>0</v>
      </c>
      <c r="L252" s="118"/>
    </row>
    <row r="253" spans="1:12" ht="11.25" customHeight="1">
      <c r="A253" s="175" t="s">
        <v>380</v>
      </c>
      <c r="B253" s="118"/>
      <c r="C253" s="118"/>
      <c r="D253" s="118"/>
      <c r="E253" s="118"/>
      <c r="F253" s="118">
        <f t="shared" si="38"/>
        <v>0</v>
      </c>
      <c r="G253" s="118">
        <f>C253-E253</f>
        <v>0</v>
      </c>
      <c r="H253" s="118"/>
      <c r="I253" s="118"/>
      <c r="J253" s="118">
        <f t="shared" si="39"/>
        <v>0</v>
      </c>
      <c r="K253" s="116">
        <f>C253-I253</f>
        <v>0</v>
      </c>
      <c r="L253" s="118"/>
    </row>
    <row r="254" spans="1:12" ht="11.25" customHeight="1">
      <c r="A254" s="175" t="s">
        <v>381</v>
      </c>
      <c r="B254" s="118"/>
      <c r="C254" s="118"/>
      <c r="D254" s="118"/>
      <c r="E254" s="118"/>
      <c r="F254" s="118">
        <f aca="true" t="shared" si="42" ref="F254:F285">IF($E$214&gt;0,E254/$E$214,0)*100</f>
        <v>0</v>
      </c>
      <c r="G254" s="118">
        <f>C254-E254</f>
        <v>0</v>
      </c>
      <c r="H254" s="118"/>
      <c r="I254" s="118"/>
      <c r="J254" s="118">
        <f aca="true" t="shared" si="43" ref="J254:J285">IF($I$214&gt;0,I254/$I$214,0)*100</f>
        <v>0</v>
      </c>
      <c r="K254" s="116">
        <f>C254-I254</f>
        <v>0</v>
      </c>
      <c r="L254" s="118"/>
    </row>
    <row r="255" spans="1:12" ht="11.25" customHeight="1">
      <c r="A255" s="175" t="s">
        <v>369</v>
      </c>
      <c r="B255" s="118"/>
      <c r="C255" s="118"/>
      <c r="D255" s="118"/>
      <c r="E255" s="118"/>
      <c r="F255" s="118">
        <f t="shared" si="42"/>
        <v>0</v>
      </c>
      <c r="G255" s="118">
        <f>C255-E255</f>
        <v>0</v>
      </c>
      <c r="H255" s="118"/>
      <c r="I255" s="118"/>
      <c r="J255" s="118">
        <f t="shared" si="43"/>
        <v>0</v>
      </c>
      <c r="K255" s="116">
        <f>C255-I255</f>
        <v>0</v>
      </c>
      <c r="L255" s="118"/>
    </row>
    <row r="256" spans="1:12" ht="11.25" customHeight="1">
      <c r="A256" s="175" t="s">
        <v>363</v>
      </c>
      <c r="B256" s="118"/>
      <c r="C256" s="118"/>
      <c r="D256" s="118"/>
      <c r="E256" s="118"/>
      <c r="F256" s="118">
        <f t="shared" si="42"/>
        <v>0</v>
      </c>
      <c r="G256" s="118">
        <f>C256-E256</f>
        <v>0</v>
      </c>
      <c r="H256" s="118"/>
      <c r="I256" s="118"/>
      <c r="J256" s="118">
        <f t="shared" si="43"/>
        <v>0</v>
      </c>
      <c r="K256" s="116">
        <f>C256-I256</f>
        <v>0</v>
      </c>
      <c r="L256" s="118"/>
    </row>
    <row r="257" spans="1:12" ht="11.25" customHeight="1">
      <c r="A257" s="174" t="s">
        <v>260</v>
      </c>
      <c r="B257" s="118">
        <f>SUM(B258:B262)</f>
        <v>7640000</v>
      </c>
      <c r="C257" s="118">
        <f>SUM(C258:C262)</f>
        <v>7640000</v>
      </c>
      <c r="D257" s="118">
        <f>SUM(D258:D262)</f>
        <v>1097020.46</v>
      </c>
      <c r="E257" s="118">
        <f>SUM(E258:E262)</f>
        <v>1097020.46</v>
      </c>
      <c r="F257" s="118">
        <f t="shared" si="42"/>
        <v>0.23613200864627823</v>
      </c>
      <c r="G257" s="118">
        <f>SUM(G258:G262)</f>
        <v>6542979.54</v>
      </c>
      <c r="H257" s="118">
        <f>SUM(H258:H262)</f>
        <v>1092320.46</v>
      </c>
      <c r="I257" s="118">
        <f>SUM(I258:I262)</f>
        <v>1092320.46</v>
      </c>
      <c r="J257" s="118">
        <f t="shared" si="43"/>
        <v>0.7312581663435725</v>
      </c>
      <c r="K257" s="116">
        <f>SUM(K258:K262)</f>
        <v>6547679.54</v>
      </c>
      <c r="L257" s="118">
        <f>SUM(L258:L262)</f>
        <v>0</v>
      </c>
    </row>
    <row r="258" spans="1:12" ht="11.25" customHeight="1">
      <c r="A258" s="175" t="s">
        <v>382</v>
      </c>
      <c r="B258" s="118"/>
      <c r="C258" s="118"/>
      <c r="D258" s="118"/>
      <c r="E258" s="118"/>
      <c r="F258" s="118">
        <f t="shared" si="42"/>
        <v>0</v>
      </c>
      <c r="G258" s="118">
        <f>C258-E258</f>
        <v>0</v>
      </c>
      <c r="H258" s="118"/>
      <c r="I258" s="118"/>
      <c r="J258" s="118">
        <f t="shared" si="43"/>
        <v>0</v>
      </c>
      <c r="K258" s="116">
        <f>C258-I258</f>
        <v>0</v>
      </c>
      <c r="L258" s="118"/>
    </row>
    <row r="259" spans="1:12" ht="11.25" customHeight="1">
      <c r="A259" s="175" t="s">
        <v>383</v>
      </c>
      <c r="B259" s="118">
        <v>7640000</v>
      </c>
      <c r="C259" s="118">
        <v>7640000</v>
      </c>
      <c r="D259" s="118">
        <v>1097020.46</v>
      </c>
      <c r="E259" s="118">
        <v>1097020.46</v>
      </c>
      <c r="F259" s="118">
        <f t="shared" si="42"/>
        <v>0.23613200864627823</v>
      </c>
      <c r="G259" s="118">
        <f>C259-E259</f>
        <v>6542979.54</v>
      </c>
      <c r="H259" s="118">
        <v>1092320.46</v>
      </c>
      <c r="I259" s="118">
        <v>1092320.46</v>
      </c>
      <c r="J259" s="118">
        <f t="shared" si="43"/>
        <v>0.7312581663435725</v>
      </c>
      <c r="K259" s="116">
        <f>C259-I259</f>
        <v>6547679.54</v>
      </c>
      <c r="L259" s="118"/>
    </row>
    <row r="260" spans="1:12" ht="11.25" customHeight="1">
      <c r="A260" s="175" t="s">
        <v>384</v>
      </c>
      <c r="B260" s="118"/>
      <c r="C260" s="118"/>
      <c r="D260" s="118"/>
      <c r="E260" s="118"/>
      <c r="F260" s="118">
        <f t="shared" si="42"/>
        <v>0</v>
      </c>
      <c r="G260" s="118">
        <f>C260-E260</f>
        <v>0</v>
      </c>
      <c r="H260" s="118"/>
      <c r="I260" s="118"/>
      <c r="J260" s="118">
        <f t="shared" si="43"/>
        <v>0</v>
      </c>
      <c r="K260" s="116">
        <f>C260-I260</f>
        <v>0</v>
      </c>
      <c r="L260" s="118"/>
    </row>
    <row r="261" spans="1:12" ht="11.25" customHeight="1">
      <c r="A261" s="175" t="s">
        <v>369</v>
      </c>
      <c r="B261" s="118"/>
      <c r="C261" s="118"/>
      <c r="D261" s="118"/>
      <c r="E261" s="118"/>
      <c r="F261" s="118">
        <f t="shared" si="42"/>
        <v>0</v>
      </c>
      <c r="G261" s="118">
        <f>C261-E261</f>
        <v>0</v>
      </c>
      <c r="H261" s="118"/>
      <c r="I261" s="118"/>
      <c r="J261" s="118">
        <f t="shared" si="43"/>
        <v>0</v>
      </c>
      <c r="K261" s="116">
        <f>C261-I261</f>
        <v>0</v>
      </c>
      <c r="L261" s="118"/>
    </row>
    <row r="262" spans="1:12" ht="11.25" customHeight="1">
      <c r="A262" s="175" t="s">
        <v>363</v>
      </c>
      <c r="B262" s="118"/>
      <c r="C262" s="118"/>
      <c r="D262" s="118"/>
      <c r="E262" s="118"/>
      <c r="F262" s="118">
        <f t="shared" si="42"/>
        <v>0</v>
      </c>
      <c r="G262" s="118">
        <f>C262-E262</f>
        <v>0</v>
      </c>
      <c r="H262" s="118"/>
      <c r="I262" s="118"/>
      <c r="J262" s="118">
        <f t="shared" si="43"/>
        <v>0</v>
      </c>
      <c r="K262" s="116">
        <f>C262-I262</f>
        <v>0</v>
      </c>
      <c r="L262" s="118"/>
    </row>
    <row r="263" spans="1:12" ht="11.25" customHeight="1">
      <c r="A263" s="174" t="s">
        <v>261</v>
      </c>
      <c r="B263" s="118">
        <f>SUM(B264:B267)</f>
        <v>0</v>
      </c>
      <c r="C263" s="118">
        <f>SUM(C264:C267)</f>
        <v>0</v>
      </c>
      <c r="D263" s="118">
        <f>SUM(D264:D267)</f>
        <v>0</v>
      </c>
      <c r="E263" s="118">
        <f>SUM(E264:E267)</f>
        <v>0</v>
      </c>
      <c r="F263" s="118">
        <f t="shared" si="42"/>
        <v>0</v>
      </c>
      <c r="G263" s="118">
        <f>SUM(G264:G267)</f>
        <v>0</v>
      </c>
      <c r="H263" s="118">
        <f>SUM(H264:H267)</f>
        <v>0</v>
      </c>
      <c r="I263" s="118">
        <f>SUM(I264:I267)</f>
        <v>0</v>
      </c>
      <c r="J263" s="118">
        <f t="shared" si="43"/>
        <v>0</v>
      </c>
      <c r="K263" s="116">
        <f>SUM(K264:K267)</f>
        <v>0</v>
      </c>
      <c r="L263" s="118">
        <f>SUM(L264:L267)</f>
        <v>0</v>
      </c>
    </row>
    <row r="264" spans="1:12" ht="11.25" customHeight="1">
      <c r="A264" s="175" t="s">
        <v>385</v>
      </c>
      <c r="B264" s="118"/>
      <c r="C264" s="118"/>
      <c r="D264" s="118"/>
      <c r="E264" s="118"/>
      <c r="F264" s="118">
        <f t="shared" si="42"/>
        <v>0</v>
      </c>
      <c r="G264" s="118">
        <f>C264-E264</f>
        <v>0</v>
      </c>
      <c r="H264" s="118"/>
      <c r="I264" s="118"/>
      <c r="J264" s="118">
        <f t="shared" si="43"/>
        <v>0</v>
      </c>
      <c r="K264" s="116">
        <f>C264-I264</f>
        <v>0</v>
      </c>
      <c r="L264" s="118"/>
    </row>
    <row r="265" spans="1:12" ht="11.25" customHeight="1">
      <c r="A265" s="175" t="s">
        <v>386</v>
      </c>
      <c r="B265" s="118"/>
      <c r="C265" s="118"/>
      <c r="D265" s="118"/>
      <c r="E265" s="118"/>
      <c r="F265" s="118">
        <f t="shared" si="42"/>
        <v>0</v>
      </c>
      <c r="G265" s="118">
        <f>C265-E265</f>
        <v>0</v>
      </c>
      <c r="H265" s="118"/>
      <c r="I265" s="118"/>
      <c r="J265" s="118">
        <f t="shared" si="43"/>
        <v>0</v>
      </c>
      <c r="K265" s="116">
        <f>C265-I265</f>
        <v>0</v>
      </c>
      <c r="L265" s="118"/>
    </row>
    <row r="266" spans="1:12" ht="11.25" customHeight="1">
      <c r="A266" s="175" t="s">
        <v>369</v>
      </c>
      <c r="B266" s="118"/>
      <c r="C266" s="118"/>
      <c r="D266" s="118"/>
      <c r="E266" s="118"/>
      <c r="F266" s="118">
        <f t="shared" si="42"/>
        <v>0</v>
      </c>
      <c r="G266" s="118">
        <f>C266-E266</f>
        <v>0</v>
      </c>
      <c r="H266" s="118"/>
      <c r="I266" s="118"/>
      <c r="J266" s="118">
        <f t="shared" si="43"/>
        <v>0</v>
      </c>
      <c r="K266" s="116">
        <f>C266-I266</f>
        <v>0</v>
      </c>
      <c r="L266" s="118"/>
    </row>
    <row r="267" spans="1:12" ht="11.25" customHeight="1">
      <c r="A267" s="175" t="s">
        <v>363</v>
      </c>
      <c r="B267" s="118"/>
      <c r="C267" s="118"/>
      <c r="D267" s="118"/>
      <c r="E267" s="118"/>
      <c r="F267" s="118">
        <f t="shared" si="42"/>
        <v>0</v>
      </c>
      <c r="G267" s="118">
        <f>C267-E267</f>
        <v>0</v>
      </c>
      <c r="H267" s="118"/>
      <c r="I267" s="118"/>
      <c r="J267" s="118">
        <f t="shared" si="43"/>
        <v>0</v>
      </c>
      <c r="K267" s="116">
        <f>C267-I267</f>
        <v>0</v>
      </c>
      <c r="L267" s="118"/>
    </row>
    <row r="268" spans="1:12" ht="11.25" customHeight="1">
      <c r="A268" s="174" t="s">
        <v>262</v>
      </c>
      <c r="B268" s="118">
        <f>SUM(B269:B274)</f>
        <v>2050100</v>
      </c>
      <c r="C268" s="118">
        <f>SUM(C269:C274)</f>
        <v>2050100</v>
      </c>
      <c r="D268" s="118">
        <f>SUM(D269:D274)</f>
        <v>300392.57</v>
      </c>
      <c r="E268" s="118">
        <f>SUM(E269:E274)</f>
        <v>300392.57</v>
      </c>
      <c r="F268" s="118">
        <f t="shared" si="42"/>
        <v>0.0646590501479961</v>
      </c>
      <c r="G268" s="118">
        <f>SUM(G269:G274)</f>
        <v>1749707.43</v>
      </c>
      <c r="H268" s="118">
        <f>SUM(H269:H274)</f>
        <v>298400.57</v>
      </c>
      <c r="I268" s="118">
        <f>SUM(I269:I274)</f>
        <v>298400.57</v>
      </c>
      <c r="J268" s="118">
        <f t="shared" si="43"/>
        <v>0.19976541834076503</v>
      </c>
      <c r="K268" s="116">
        <f>SUM(K269:K274)</f>
        <v>1751699.43</v>
      </c>
      <c r="L268" s="118">
        <f>SUM(L269:L274)</f>
        <v>0</v>
      </c>
    </row>
    <row r="269" spans="1:12" ht="11.25" customHeight="1">
      <c r="A269" s="175" t="s">
        <v>387</v>
      </c>
      <c r="B269" s="118"/>
      <c r="C269" s="118"/>
      <c r="D269" s="118"/>
      <c r="E269" s="118"/>
      <c r="F269" s="118">
        <f t="shared" si="42"/>
        <v>0</v>
      </c>
      <c r="G269" s="118">
        <f aca="true" t="shared" si="44" ref="G269:G274">C269-E269</f>
        <v>0</v>
      </c>
      <c r="H269" s="118"/>
      <c r="I269" s="118"/>
      <c r="J269" s="118">
        <f t="shared" si="43"/>
        <v>0</v>
      </c>
      <c r="K269" s="116">
        <f aca="true" t="shared" si="45" ref="K269:K274">C269-I269</f>
        <v>0</v>
      </c>
      <c r="L269" s="118"/>
    </row>
    <row r="270" spans="1:12" ht="11.25" customHeight="1">
      <c r="A270" s="175" t="s">
        <v>388</v>
      </c>
      <c r="B270" s="118"/>
      <c r="C270" s="118"/>
      <c r="D270" s="118"/>
      <c r="E270" s="118"/>
      <c r="F270" s="118">
        <f t="shared" si="42"/>
        <v>0</v>
      </c>
      <c r="G270" s="118">
        <f t="shared" si="44"/>
        <v>0</v>
      </c>
      <c r="H270" s="118"/>
      <c r="I270" s="118"/>
      <c r="J270" s="118">
        <f t="shared" si="43"/>
        <v>0</v>
      </c>
      <c r="K270" s="116">
        <f t="shared" si="45"/>
        <v>0</v>
      </c>
      <c r="L270" s="118"/>
    </row>
    <row r="271" spans="1:12" ht="11.25" customHeight="1">
      <c r="A271" s="175" t="s">
        <v>389</v>
      </c>
      <c r="B271" s="118"/>
      <c r="C271" s="118"/>
      <c r="D271" s="118"/>
      <c r="E271" s="118"/>
      <c r="F271" s="118">
        <f t="shared" si="42"/>
        <v>0</v>
      </c>
      <c r="G271" s="118">
        <f t="shared" si="44"/>
        <v>0</v>
      </c>
      <c r="H271" s="118"/>
      <c r="I271" s="118"/>
      <c r="J271" s="118">
        <f t="shared" si="43"/>
        <v>0</v>
      </c>
      <c r="K271" s="116">
        <f t="shared" si="45"/>
        <v>0</v>
      </c>
      <c r="L271" s="118"/>
    </row>
    <row r="272" spans="1:12" ht="11.25" customHeight="1">
      <c r="A272" s="175" t="s">
        <v>390</v>
      </c>
      <c r="B272" s="118">
        <v>2050100</v>
      </c>
      <c r="C272" s="118">
        <v>2050100</v>
      </c>
      <c r="D272" s="118">
        <v>300392.57</v>
      </c>
      <c r="E272" s="118">
        <v>300392.57</v>
      </c>
      <c r="F272" s="118">
        <f t="shared" si="42"/>
        <v>0.0646590501479961</v>
      </c>
      <c r="G272" s="118">
        <f t="shared" si="44"/>
        <v>1749707.43</v>
      </c>
      <c r="H272" s="118">
        <v>298400.57</v>
      </c>
      <c r="I272" s="118">
        <v>298400.57</v>
      </c>
      <c r="J272" s="118">
        <f t="shared" si="43"/>
        <v>0.19976541834076503</v>
      </c>
      <c r="K272" s="116">
        <f t="shared" si="45"/>
        <v>1751699.43</v>
      </c>
      <c r="L272" s="118"/>
    </row>
    <row r="273" spans="1:12" ht="11.25" customHeight="1">
      <c r="A273" s="175" t="s">
        <v>369</v>
      </c>
      <c r="B273" s="118"/>
      <c r="C273" s="118"/>
      <c r="D273" s="118"/>
      <c r="E273" s="118"/>
      <c r="F273" s="118">
        <f t="shared" si="42"/>
        <v>0</v>
      </c>
      <c r="G273" s="118">
        <f t="shared" si="44"/>
        <v>0</v>
      </c>
      <c r="H273" s="118"/>
      <c r="I273" s="118"/>
      <c r="J273" s="118">
        <f t="shared" si="43"/>
        <v>0</v>
      </c>
      <c r="K273" s="116">
        <f t="shared" si="45"/>
        <v>0</v>
      </c>
      <c r="L273" s="118"/>
    </row>
    <row r="274" spans="1:12" ht="11.25" customHeight="1">
      <c r="A274" s="175" t="s">
        <v>363</v>
      </c>
      <c r="B274" s="118"/>
      <c r="C274" s="118"/>
      <c r="D274" s="118"/>
      <c r="E274" s="118"/>
      <c r="F274" s="118">
        <f t="shared" si="42"/>
        <v>0</v>
      </c>
      <c r="G274" s="118">
        <f t="shared" si="44"/>
        <v>0</v>
      </c>
      <c r="H274" s="118"/>
      <c r="I274" s="118"/>
      <c r="J274" s="118">
        <f t="shared" si="43"/>
        <v>0</v>
      </c>
      <c r="K274" s="116">
        <f t="shared" si="45"/>
        <v>0</v>
      </c>
      <c r="L274" s="118"/>
    </row>
    <row r="275" spans="1:12" ht="11.25" customHeight="1">
      <c r="A275" s="174" t="s">
        <v>263</v>
      </c>
      <c r="B275" s="118">
        <f>SUM(B276:B281)</f>
        <v>480000</v>
      </c>
      <c r="C275" s="118">
        <f>SUM(C276:C281)</f>
        <v>480000</v>
      </c>
      <c r="D275" s="118">
        <f>SUM(D276:D281)</f>
        <v>64122.21</v>
      </c>
      <c r="E275" s="118">
        <f>SUM(E276:E281)</f>
        <v>64122.21</v>
      </c>
      <c r="F275" s="118">
        <f t="shared" si="42"/>
        <v>0.013802209528652245</v>
      </c>
      <c r="G275" s="118">
        <f>SUM(G276:G281)</f>
        <v>415877.79</v>
      </c>
      <c r="H275" s="118">
        <f>SUM(H276:H281)</f>
        <v>56669.04</v>
      </c>
      <c r="I275" s="118">
        <f>SUM(I276:I281)</f>
        <v>56669.04</v>
      </c>
      <c r="J275" s="118">
        <f t="shared" si="43"/>
        <v>0.037937308506379684</v>
      </c>
      <c r="K275" s="116">
        <f>SUM(K276:K281)</f>
        <v>423330.96</v>
      </c>
      <c r="L275" s="118">
        <f>SUM(L276:L281)</f>
        <v>0</v>
      </c>
    </row>
    <row r="276" spans="1:12" ht="11.25" customHeight="1">
      <c r="A276" s="175" t="s">
        <v>391</v>
      </c>
      <c r="B276" s="118"/>
      <c r="C276" s="118"/>
      <c r="D276" s="118"/>
      <c r="E276" s="118"/>
      <c r="F276" s="118">
        <f t="shared" si="42"/>
        <v>0</v>
      </c>
      <c r="G276" s="118">
        <f aca="true" t="shared" si="46" ref="G276:G281">C276-E276</f>
        <v>0</v>
      </c>
      <c r="H276" s="118"/>
      <c r="I276" s="118"/>
      <c r="J276" s="118">
        <f t="shared" si="43"/>
        <v>0</v>
      </c>
      <c r="K276" s="116">
        <f aca="true" t="shared" si="47" ref="K276:K281">C276-I276</f>
        <v>0</v>
      </c>
      <c r="L276" s="118"/>
    </row>
    <row r="277" spans="1:12" ht="11.25" customHeight="1">
      <c r="A277" s="175" t="s">
        <v>392</v>
      </c>
      <c r="B277" s="118">
        <v>480000</v>
      </c>
      <c r="C277" s="118">
        <v>480000</v>
      </c>
      <c r="D277" s="118">
        <v>64122.21</v>
      </c>
      <c r="E277" s="118">
        <v>64122.21</v>
      </c>
      <c r="F277" s="118">
        <f t="shared" si="42"/>
        <v>0.013802209528652245</v>
      </c>
      <c r="G277" s="118">
        <f t="shared" si="46"/>
        <v>415877.79</v>
      </c>
      <c r="H277" s="118">
        <v>56669.04</v>
      </c>
      <c r="I277" s="118">
        <v>56669.04</v>
      </c>
      <c r="J277" s="118">
        <f t="shared" si="43"/>
        <v>0.037937308506379684</v>
      </c>
      <c r="K277" s="116">
        <f t="shared" si="47"/>
        <v>423330.96</v>
      </c>
      <c r="L277" s="118"/>
    </row>
    <row r="278" spans="1:12" ht="11.25" customHeight="1">
      <c r="A278" s="175" t="s">
        <v>393</v>
      </c>
      <c r="B278" s="118"/>
      <c r="C278" s="118"/>
      <c r="D278" s="118"/>
      <c r="E278" s="118"/>
      <c r="F278" s="118">
        <f t="shared" si="42"/>
        <v>0</v>
      </c>
      <c r="G278" s="118">
        <f t="shared" si="46"/>
        <v>0</v>
      </c>
      <c r="H278" s="118"/>
      <c r="I278" s="118"/>
      <c r="J278" s="118">
        <f t="shared" si="43"/>
        <v>0</v>
      </c>
      <c r="K278" s="116">
        <f t="shared" si="47"/>
        <v>0</v>
      </c>
      <c r="L278" s="118"/>
    </row>
    <row r="279" spans="1:12" ht="11.25" customHeight="1">
      <c r="A279" s="175" t="s">
        <v>394</v>
      </c>
      <c r="B279" s="118"/>
      <c r="C279" s="118"/>
      <c r="D279" s="118"/>
      <c r="E279" s="118"/>
      <c r="F279" s="118">
        <f t="shared" si="42"/>
        <v>0</v>
      </c>
      <c r="G279" s="118">
        <f t="shared" si="46"/>
        <v>0</v>
      </c>
      <c r="H279" s="118"/>
      <c r="I279" s="118"/>
      <c r="J279" s="118">
        <f t="shared" si="43"/>
        <v>0</v>
      </c>
      <c r="K279" s="116">
        <f t="shared" si="47"/>
        <v>0</v>
      </c>
      <c r="L279" s="118"/>
    </row>
    <row r="280" spans="1:12" ht="11.25" customHeight="1">
      <c r="A280" s="175" t="s">
        <v>369</v>
      </c>
      <c r="B280" s="118"/>
      <c r="C280" s="118"/>
      <c r="D280" s="118"/>
      <c r="E280" s="118"/>
      <c r="F280" s="118">
        <f t="shared" si="42"/>
        <v>0</v>
      </c>
      <c r="G280" s="118">
        <f t="shared" si="46"/>
        <v>0</v>
      </c>
      <c r="H280" s="118"/>
      <c r="I280" s="118"/>
      <c r="J280" s="118">
        <f t="shared" si="43"/>
        <v>0</v>
      </c>
      <c r="K280" s="116">
        <f t="shared" si="47"/>
        <v>0</v>
      </c>
      <c r="L280" s="118"/>
    </row>
    <row r="281" spans="1:12" ht="11.25" customHeight="1">
      <c r="A281" s="175" t="s">
        <v>363</v>
      </c>
      <c r="B281" s="118"/>
      <c r="C281" s="118"/>
      <c r="D281" s="118"/>
      <c r="E281" s="118"/>
      <c r="F281" s="118">
        <f t="shared" si="42"/>
        <v>0</v>
      </c>
      <c r="G281" s="118">
        <f t="shared" si="46"/>
        <v>0</v>
      </c>
      <c r="H281" s="118"/>
      <c r="I281" s="118"/>
      <c r="J281" s="118">
        <f t="shared" si="43"/>
        <v>0</v>
      </c>
      <c r="K281" s="116">
        <f t="shared" si="47"/>
        <v>0</v>
      </c>
      <c r="L281" s="118"/>
    </row>
    <row r="282" spans="1:12" ht="11.25" customHeight="1">
      <c r="A282" s="174" t="s">
        <v>264</v>
      </c>
      <c r="B282" s="118">
        <f>SUM(B283:B290)</f>
        <v>30905000</v>
      </c>
      <c r="C282" s="118">
        <f>SUM(C283:C290)</f>
        <v>30905000</v>
      </c>
      <c r="D282" s="118">
        <f>SUM(D283:D290)</f>
        <v>4469504.47</v>
      </c>
      <c r="E282" s="118">
        <f>SUM(E283:E290)</f>
        <v>4469504.47</v>
      </c>
      <c r="F282" s="118">
        <f t="shared" si="42"/>
        <v>0.9620541335706895</v>
      </c>
      <c r="G282" s="118">
        <f>SUM(G283:G290)</f>
        <v>26435495.529999994</v>
      </c>
      <c r="H282" s="118">
        <f>SUM(H283:H290)</f>
        <v>4228051.3100000005</v>
      </c>
      <c r="I282" s="118">
        <f>SUM(I283:I290)</f>
        <v>4228051.3100000005</v>
      </c>
      <c r="J282" s="118">
        <f t="shared" si="43"/>
        <v>2.8304853395835323</v>
      </c>
      <c r="K282" s="116">
        <f>SUM(K283:K290)</f>
        <v>26676948.689999994</v>
      </c>
      <c r="L282" s="118">
        <f>SUM(L283:L290)</f>
        <v>0</v>
      </c>
    </row>
    <row r="283" spans="1:12" ht="11.25" customHeight="1">
      <c r="A283" s="175" t="s">
        <v>209</v>
      </c>
      <c r="B283" s="118">
        <v>10525000</v>
      </c>
      <c r="C283" s="118">
        <v>10525000</v>
      </c>
      <c r="D283" s="118">
        <v>1539912.26</v>
      </c>
      <c r="E283" s="118">
        <v>1539912.26</v>
      </c>
      <c r="F283" s="118">
        <f t="shared" si="42"/>
        <v>0.3314638043239685</v>
      </c>
      <c r="G283" s="118">
        <f aca="true" t="shared" si="48" ref="G283:G290">C283-E283</f>
        <v>8985087.74</v>
      </c>
      <c r="H283" s="118">
        <v>1539912.26</v>
      </c>
      <c r="I283" s="118">
        <v>1539912.26</v>
      </c>
      <c r="J283" s="118">
        <f t="shared" si="43"/>
        <v>1.0309002319498681</v>
      </c>
      <c r="K283" s="116">
        <f aca="true" t="shared" si="49" ref="K283:K290">C283-I283</f>
        <v>8985087.74</v>
      </c>
      <c r="L283" s="118"/>
    </row>
    <row r="284" spans="1:12" ht="11.25" customHeight="1">
      <c r="A284" s="175" t="s">
        <v>210</v>
      </c>
      <c r="B284" s="118">
        <v>16310000</v>
      </c>
      <c r="C284" s="118">
        <v>16310000</v>
      </c>
      <c r="D284" s="118">
        <v>2184283.52</v>
      </c>
      <c r="E284" s="118">
        <v>2184283.52</v>
      </c>
      <c r="F284" s="118">
        <f t="shared" si="42"/>
        <v>0.4701637515772159</v>
      </c>
      <c r="G284" s="118">
        <f t="shared" si="48"/>
        <v>14125716.48</v>
      </c>
      <c r="H284" s="118">
        <v>2184283.52</v>
      </c>
      <c r="I284" s="118">
        <v>2184283.52</v>
      </c>
      <c r="J284" s="118">
        <f t="shared" si="43"/>
        <v>1.4622770698716787</v>
      </c>
      <c r="K284" s="116">
        <f t="shared" si="49"/>
        <v>14125716.48</v>
      </c>
      <c r="L284" s="118"/>
    </row>
    <row r="285" spans="1:12" ht="11.25" customHeight="1">
      <c r="A285" s="175" t="s">
        <v>211</v>
      </c>
      <c r="B285" s="118">
        <v>467000</v>
      </c>
      <c r="C285" s="118">
        <v>467000</v>
      </c>
      <c r="D285" s="118">
        <v>61302.51</v>
      </c>
      <c r="E285" s="118">
        <v>61302.51</v>
      </c>
      <c r="F285" s="118">
        <f t="shared" si="42"/>
        <v>0.013195273332785936</v>
      </c>
      <c r="G285" s="118">
        <f t="shared" si="48"/>
        <v>405697.49</v>
      </c>
      <c r="H285" s="118">
        <v>61302.51</v>
      </c>
      <c r="I285" s="118">
        <v>61302.51</v>
      </c>
      <c r="J285" s="118">
        <f t="shared" si="43"/>
        <v>0.041039202959595324</v>
      </c>
      <c r="K285" s="116">
        <f t="shared" si="49"/>
        <v>405697.49</v>
      </c>
      <c r="L285" s="118"/>
    </row>
    <row r="286" spans="1:12" ht="11.25" customHeight="1">
      <c r="A286" s="175" t="s">
        <v>212</v>
      </c>
      <c r="B286" s="118">
        <v>632000</v>
      </c>
      <c r="C286" s="118">
        <v>632000</v>
      </c>
      <c r="D286" s="118">
        <v>73517.44</v>
      </c>
      <c r="E286" s="118">
        <v>73517.44</v>
      </c>
      <c r="F286" s="118">
        <f aca="true" t="shared" si="50" ref="F286:F317">IF($E$214&gt;0,E286/$E$214,0)*100</f>
        <v>0.01582451869469439</v>
      </c>
      <c r="G286" s="118">
        <f t="shared" si="48"/>
        <v>558482.56</v>
      </c>
      <c r="H286" s="118">
        <v>73517.44</v>
      </c>
      <c r="I286" s="118">
        <v>73517.44</v>
      </c>
      <c r="J286" s="118">
        <f aca="true" t="shared" si="51" ref="J286:J317">IF($I$214&gt;0,I286/$I$214,0)*100</f>
        <v>0.04921653519945385</v>
      </c>
      <c r="K286" s="116">
        <f t="shared" si="49"/>
        <v>558482.56</v>
      </c>
      <c r="L286" s="118"/>
    </row>
    <row r="287" spans="1:12" ht="11.25" customHeight="1">
      <c r="A287" s="175" t="s">
        <v>213</v>
      </c>
      <c r="B287" s="118">
        <v>833000</v>
      </c>
      <c r="C287" s="118">
        <v>833000</v>
      </c>
      <c r="D287" s="118">
        <v>136923.85</v>
      </c>
      <c r="E287" s="118">
        <v>136923.85</v>
      </c>
      <c r="F287" s="118">
        <f t="shared" si="50"/>
        <v>0.029472653346940957</v>
      </c>
      <c r="G287" s="118">
        <f t="shared" si="48"/>
        <v>696076.15</v>
      </c>
      <c r="H287" s="118">
        <v>136923.85</v>
      </c>
      <c r="I287" s="118">
        <v>136923.85</v>
      </c>
      <c r="J287" s="118">
        <f t="shared" si="51"/>
        <v>0.09166420216984893</v>
      </c>
      <c r="K287" s="116">
        <f t="shared" si="49"/>
        <v>696076.15</v>
      </c>
      <c r="L287" s="118"/>
    </row>
    <row r="288" spans="1:12" ht="11.25" customHeight="1">
      <c r="A288" s="175" t="s">
        <v>214</v>
      </c>
      <c r="B288" s="118"/>
      <c r="C288" s="118"/>
      <c r="D288" s="118"/>
      <c r="E288" s="118"/>
      <c r="F288" s="118">
        <f t="shared" si="50"/>
        <v>0</v>
      </c>
      <c r="G288" s="118">
        <f t="shared" si="48"/>
        <v>0</v>
      </c>
      <c r="H288" s="118"/>
      <c r="I288" s="118"/>
      <c r="J288" s="118">
        <f t="shared" si="51"/>
        <v>0</v>
      </c>
      <c r="K288" s="116">
        <f t="shared" si="49"/>
        <v>0</v>
      </c>
      <c r="L288" s="118"/>
    </row>
    <row r="289" spans="1:12" ht="11.25" customHeight="1">
      <c r="A289" s="175" t="s">
        <v>369</v>
      </c>
      <c r="B289" s="118">
        <v>2138000</v>
      </c>
      <c r="C289" s="118">
        <v>2138000</v>
      </c>
      <c r="D289" s="118">
        <v>473564.89</v>
      </c>
      <c r="E289" s="118">
        <v>473564.89</v>
      </c>
      <c r="F289" s="118">
        <f t="shared" si="50"/>
        <v>0.10193413229508393</v>
      </c>
      <c r="G289" s="118">
        <f t="shared" si="48"/>
        <v>1664435.1099999999</v>
      </c>
      <c r="H289" s="118">
        <v>232111.73</v>
      </c>
      <c r="I289" s="118">
        <v>232111.73</v>
      </c>
      <c r="J289" s="118">
        <f t="shared" si="51"/>
        <v>0.155388097433087</v>
      </c>
      <c r="K289" s="116">
        <f t="shared" si="49"/>
        <v>1905888.27</v>
      </c>
      <c r="L289" s="118"/>
    </row>
    <row r="290" spans="1:12" ht="11.25" customHeight="1">
      <c r="A290" s="175" t="s">
        <v>363</v>
      </c>
      <c r="B290" s="118"/>
      <c r="C290" s="118"/>
      <c r="D290" s="118"/>
      <c r="E290" s="118"/>
      <c r="F290" s="118">
        <f t="shared" si="50"/>
        <v>0</v>
      </c>
      <c r="G290" s="118">
        <f t="shared" si="48"/>
        <v>0</v>
      </c>
      <c r="H290" s="118"/>
      <c r="I290" s="118"/>
      <c r="J290" s="118">
        <f t="shared" si="51"/>
        <v>0</v>
      </c>
      <c r="K290" s="116">
        <f t="shared" si="49"/>
        <v>0</v>
      </c>
      <c r="L290" s="118"/>
    </row>
    <row r="291" spans="1:12" ht="11.25" customHeight="1">
      <c r="A291" s="174" t="s">
        <v>265</v>
      </c>
      <c r="B291" s="118">
        <f>SUM(B292:B297)</f>
        <v>0</v>
      </c>
      <c r="C291" s="118">
        <f>SUM(C292:C297)</f>
        <v>0</v>
      </c>
      <c r="D291" s="118">
        <f>SUM(D292:D297)</f>
        <v>0</v>
      </c>
      <c r="E291" s="118">
        <f>SUM(E292:E297)</f>
        <v>0</v>
      </c>
      <c r="F291" s="118">
        <f t="shared" si="50"/>
        <v>0</v>
      </c>
      <c r="G291" s="118">
        <f>SUM(G292:G297)</f>
        <v>0</v>
      </c>
      <c r="H291" s="118">
        <f>SUM(H292:H297)</f>
        <v>0</v>
      </c>
      <c r="I291" s="118">
        <f>SUM(I292:I297)</f>
        <v>0</v>
      </c>
      <c r="J291" s="118">
        <f t="shared" si="51"/>
        <v>0</v>
      </c>
      <c r="K291" s="116">
        <f>SUM(K292:K297)</f>
        <v>0</v>
      </c>
      <c r="L291" s="118">
        <f>SUM(L292:L297)</f>
        <v>0</v>
      </c>
    </row>
    <row r="292" spans="1:12" ht="11.25" customHeight="1">
      <c r="A292" s="175" t="s">
        <v>395</v>
      </c>
      <c r="B292" s="118"/>
      <c r="C292" s="118"/>
      <c r="D292" s="118"/>
      <c r="E292" s="118"/>
      <c r="F292" s="118">
        <f t="shared" si="50"/>
        <v>0</v>
      </c>
      <c r="G292" s="118">
        <f aca="true" t="shared" si="52" ref="G292:G297">C292-E292</f>
        <v>0</v>
      </c>
      <c r="H292" s="118"/>
      <c r="I292" s="118"/>
      <c r="J292" s="118">
        <f t="shared" si="51"/>
        <v>0</v>
      </c>
      <c r="K292" s="116">
        <f aca="true" t="shared" si="53" ref="K292:K297">C292-I292</f>
        <v>0</v>
      </c>
      <c r="L292" s="118"/>
    </row>
    <row r="293" spans="1:12" ht="11.25" customHeight="1">
      <c r="A293" s="175" t="s">
        <v>396</v>
      </c>
      <c r="B293" s="118"/>
      <c r="C293" s="118"/>
      <c r="D293" s="118"/>
      <c r="E293" s="118"/>
      <c r="F293" s="118">
        <f t="shared" si="50"/>
        <v>0</v>
      </c>
      <c r="G293" s="118">
        <f t="shared" si="52"/>
        <v>0</v>
      </c>
      <c r="H293" s="118"/>
      <c r="I293" s="118"/>
      <c r="J293" s="118">
        <f t="shared" si="51"/>
        <v>0</v>
      </c>
      <c r="K293" s="116">
        <f t="shared" si="53"/>
        <v>0</v>
      </c>
      <c r="L293" s="118"/>
    </row>
    <row r="294" spans="1:12" ht="11.25" customHeight="1">
      <c r="A294" s="175" t="s">
        <v>397</v>
      </c>
      <c r="B294" s="118"/>
      <c r="C294" s="118"/>
      <c r="D294" s="118"/>
      <c r="E294" s="118"/>
      <c r="F294" s="118">
        <f t="shared" si="50"/>
        <v>0</v>
      </c>
      <c r="G294" s="118">
        <f t="shared" si="52"/>
        <v>0</v>
      </c>
      <c r="H294" s="118"/>
      <c r="I294" s="118"/>
      <c r="J294" s="118">
        <f t="shared" si="51"/>
        <v>0</v>
      </c>
      <c r="K294" s="116">
        <f t="shared" si="53"/>
        <v>0</v>
      </c>
      <c r="L294" s="118"/>
    </row>
    <row r="295" spans="1:12" ht="11.25" customHeight="1">
      <c r="A295" s="175" t="s">
        <v>398</v>
      </c>
      <c r="B295" s="118"/>
      <c r="C295" s="118"/>
      <c r="D295" s="118"/>
      <c r="E295" s="118"/>
      <c r="F295" s="118">
        <f t="shared" si="50"/>
        <v>0</v>
      </c>
      <c r="G295" s="118">
        <f t="shared" si="52"/>
        <v>0</v>
      </c>
      <c r="H295" s="118"/>
      <c r="I295" s="118"/>
      <c r="J295" s="118">
        <f t="shared" si="51"/>
        <v>0</v>
      </c>
      <c r="K295" s="116">
        <f t="shared" si="53"/>
        <v>0</v>
      </c>
      <c r="L295" s="118"/>
    </row>
    <row r="296" spans="1:12" ht="11.25" customHeight="1">
      <c r="A296" s="175" t="s">
        <v>369</v>
      </c>
      <c r="B296" s="118"/>
      <c r="C296" s="118"/>
      <c r="D296" s="118"/>
      <c r="E296" s="118"/>
      <c r="F296" s="118">
        <f t="shared" si="50"/>
        <v>0</v>
      </c>
      <c r="G296" s="118">
        <f t="shared" si="52"/>
        <v>0</v>
      </c>
      <c r="H296" s="118"/>
      <c r="I296" s="118"/>
      <c r="J296" s="118">
        <f t="shared" si="51"/>
        <v>0</v>
      </c>
      <c r="K296" s="116">
        <f t="shared" si="53"/>
        <v>0</v>
      </c>
      <c r="L296" s="118"/>
    </row>
    <row r="297" spans="1:12" ht="11.25" customHeight="1">
      <c r="A297" s="175" t="s">
        <v>363</v>
      </c>
      <c r="B297" s="118"/>
      <c r="C297" s="118"/>
      <c r="D297" s="118"/>
      <c r="E297" s="118"/>
      <c r="F297" s="118">
        <f t="shared" si="50"/>
        <v>0</v>
      </c>
      <c r="G297" s="118">
        <f t="shared" si="52"/>
        <v>0</v>
      </c>
      <c r="H297" s="118"/>
      <c r="I297" s="118"/>
      <c r="J297" s="118">
        <f t="shared" si="51"/>
        <v>0</v>
      </c>
      <c r="K297" s="116">
        <f t="shared" si="53"/>
        <v>0</v>
      </c>
      <c r="L297" s="118"/>
    </row>
    <row r="298" spans="1:12" ht="11.25" customHeight="1">
      <c r="A298" s="174" t="s">
        <v>266</v>
      </c>
      <c r="B298" s="118">
        <f>SUM(B299:B308)</f>
        <v>31184000</v>
      </c>
      <c r="C298" s="118">
        <f>SUM(C299:C308)</f>
        <v>31354000</v>
      </c>
      <c r="D298" s="118">
        <f>SUM(D299:D308)</f>
        <v>5806281.47</v>
      </c>
      <c r="E298" s="118">
        <f>SUM(E299:E308)</f>
        <v>5806281.47</v>
      </c>
      <c r="F298" s="118">
        <f t="shared" si="50"/>
        <v>1.2497933778525563</v>
      </c>
      <c r="G298" s="118">
        <f>SUM(G299:G308)</f>
        <v>25547718.529999997</v>
      </c>
      <c r="H298" s="118">
        <f>SUM(H299:H308)</f>
        <v>5111198.56</v>
      </c>
      <c r="I298" s="118">
        <f>SUM(I299:I308)</f>
        <v>5111198.56</v>
      </c>
      <c r="J298" s="118">
        <f t="shared" si="51"/>
        <v>3.4217116896295328</v>
      </c>
      <c r="K298" s="116">
        <f>SUM(K299:K308)</f>
        <v>26242801.44</v>
      </c>
      <c r="L298" s="118">
        <f>SUM(L299:L308)</f>
        <v>0</v>
      </c>
    </row>
    <row r="299" spans="1:12" ht="11.25" customHeight="1">
      <c r="A299" s="175" t="s">
        <v>399</v>
      </c>
      <c r="B299" s="118">
        <v>17724000</v>
      </c>
      <c r="C299" s="118">
        <v>17724000</v>
      </c>
      <c r="D299" s="118">
        <v>3359712.98</v>
      </c>
      <c r="E299" s="118">
        <v>3359712.98</v>
      </c>
      <c r="F299" s="118">
        <f t="shared" si="50"/>
        <v>0.7231731798715707</v>
      </c>
      <c r="G299" s="118">
        <f aca="true" t="shared" si="54" ref="G299:G308">C299-E299</f>
        <v>14364287.02</v>
      </c>
      <c r="H299" s="118">
        <v>2970775.5</v>
      </c>
      <c r="I299" s="118">
        <v>2970775.5</v>
      </c>
      <c r="J299" s="118">
        <f t="shared" si="51"/>
        <v>1.9887971747305822</v>
      </c>
      <c r="K299" s="116">
        <f aca="true" t="shared" si="55" ref="K299:K308">C299-I299</f>
        <v>14753224.5</v>
      </c>
      <c r="L299" s="118"/>
    </row>
    <row r="300" spans="1:12" ht="11.25" customHeight="1">
      <c r="A300" s="175" t="s">
        <v>400</v>
      </c>
      <c r="B300" s="118">
        <v>24000</v>
      </c>
      <c r="C300" s="118">
        <v>24000</v>
      </c>
      <c r="D300" s="118">
        <v>1916.14</v>
      </c>
      <c r="E300" s="118">
        <v>1916.14</v>
      </c>
      <c r="F300" s="118">
        <f t="shared" si="50"/>
        <v>0.0004124462610729062</v>
      </c>
      <c r="G300" s="118">
        <f t="shared" si="54"/>
        <v>22083.86</v>
      </c>
      <c r="H300" s="118">
        <v>1916.14</v>
      </c>
      <c r="I300" s="118">
        <v>1916.14</v>
      </c>
      <c r="J300" s="118">
        <f t="shared" si="51"/>
        <v>0.0012827673509453199</v>
      </c>
      <c r="K300" s="116">
        <f t="shared" si="55"/>
        <v>22083.86</v>
      </c>
      <c r="L300" s="118"/>
    </row>
    <row r="301" spans="1:12" ht="11.25" customHeight="1">
      <c r="A301" s="175" t="s">
        <v>401</v>
      </c>
      <c r="B301" s="118">
        <v>1296000</v>
      </c>
      <c r="C301" s="118">
        <v>1466000</v>
      </c>
      <c r="D301" s="118">
        <v>231557.42</v>
      </c>
      <c r="E301" s="118">
        <v>231557.42</v>
      </c>
      <c r="F301" s="118">
        <f t="shared" si="50"/>
        <v>0.049842387353058015</v>
      </c>
      <c r="G301" s="118">
        <f t="shared" si="54"/>
        <v>1234442.58</v>
      </c>
      <c r="H301" s="118">
        <v>146701.22</v>
      </c>
      <c r="I301" s="118">
        <v>146701.22</v>
      </c>
      <c r="J301" s="118">
        <f t="shared" si="51"/>
        <v>0.09820970041846971</v>
      </c>
      <c r="K301" s="116">
        <f t="shared" si="55"/>
        <v>1319298.78</v>
      </c>
      <c r="L301" s="118"/>
    </row>
    <row r="302" spans="1:12" ht="11.25" customHeight="1">
      <c r="A302" s="175" t="s">
        <v>402</v>
      </c>
      <c r="B302" s="118">
        <v>36000</v>
      </c>
      <c r="C302" s="118">
        <v>36000</v>
      </c>
      <c r="D302" s="118">
        <v>1275.75</v>
      </c>
      <c r="E302" s="118">
        <v>1275.75</v>
      </c>
      <c r="F302" s="118">
        <f t="shared" si="50"/>
        <v>0.00027460327406335654</v>
      </c>
      <c r="G302" s="118">
        <f t="shared" si="54"/>
        <v>34724.25</v>
      </c>
      <c r="H302" s="118">
        <v>1275.75</v>
      </c>
      <c r="I302" s="118">
        <v>1275.75</v>
      </c>
      <c r="J302" s="118">
        <f t="shared" si="51"/>
        <v>0.0008540557829639232</v>
      </c>
      <c r="K302" s="116">
        <f t="shared" si="55"/>
        <v>34724.25</v>
      </c>
      <c r="L302" s="118"/>
    </row>
    <row r="303" spans="1:12" ht="11.25" customHeight="1">
      <c r="A303" s="175" t="s">
        <v>403</v>
      </c>
      <c r="B303" s="118">
        <v>12034000</v>
      </c>
      <c r="C303" s="118">
        <v>12034000</v>
      </c>
      <c r="D303" s="118">
        <v>2204357.16</v>
      </c>
      <c r="E303" s="118">
        <v>2204357.16</v>
      </c>
      <c r="F303" s="118">
        <f t="shared" si="50"/>
        <v>0.47448457247971965</v>
      </c>
      <c r="G303" s="118">
        <f t="shared" si="54"/>
        <v>9829642.84</v>
      </c>
      <c r="H303" s="118">
        <v>1983067.93</v>
      </c>
      <c r="I303" s="118">
        <v>1983067.93</v>
      </c>
      <c r="J303" s="118">
        <f t="shared" si="51"/>
        <v>1.3275725131309397</v>
      </c>
      <c r="K303" s="116">
        <f t="shared" si="55"/>
        <v>10050932.07</v>
      </c>
      <c r="L303" s="118"/>
    </row>
    <row r="304" spans="1:12" ht="11.25" customHeight="1">
      <c r="A304" s="175" t="s">
        <v>404</v>
      </c>
      <c r="B304" s="118">
        <v>70000</v>
      </c>
      <c r="C304" s="118">
        <v>70000</v>
      </c>
      <c r="D304" s="118">
        <v>7462.02</v>
      </c>
      <c r="E304" s="118">
        <v>7462.02</v>
      </c>
      <c r="F304" s="118">
        <f t="shared" si="50"/>
        <v>0.001606188613071721</v>
      </c>
      <c r="G304" s="118">
        <f t="shared" si="54"/>
        <v>62537.979999999996</v>
      </c>
      <c r="H304" s="118">
        <v>7462.02</v>
      </c>
      <c r="I304" s="118">
        <v>7462.02</v>
      </c>
      <c r="J304" s="118">
        <f t="shared" si="51"/>
        <v>0.004995478215631945</v>
      </c>
      <c r="K304" s="116">
        <f t="shared" si="55"/>
        <v>62537.979999999996</v>
      </c>
      <c r="L304" s="118"/>
    </row>
    <row r="305" spans="1:12" ht="11.25" customHeight="1">
      <c r="A305" s="175" t="s">
        <v>405</v>
      </c>
      <c r="B305" s="118"/>
      <c r="C305" s="118"/>
      <c r="D305" s="118"/>
      <c r="E305" s="118"/>
      <c r="F305" s="118">
        <f t="shared" si="50"/>
        <v>0</v>
      </c>
      <c r="G305" s="118">
        <f t="shared" si="54"/>
        <v>0</v>
      </c>
      <c r="H305" s="118"/>
      <c r="I305" s="118"/>
      <c r="J305" s="118">
        <f t="shared" si="51"/>
        <v>0</v>
      </c>
      <c r="K305" s="116">
        <f t="shared" si="55"/>
        <v>0</v>
      </c>
      <c r="L305" s="118"/>
    </row>
    <row r="306" spans="1:12" ht="11.25" customHeight="1">
      <c r="A306" s="175" t="s">
        <v>623</v>
      </c>
      <c r="B306" s="118"/>
      <c r="C306" s="118"/>
      <c r="D306" s="118"/>
      <c r="E306" s="118"/>
      <c r="F306" s="118">
        <f t="shared" si="50"/>
        <v>0</v>
      </c>
      <c r="G306" s="118">
        <f t="shared" si="54"/>
        <v>0</v>
      </c>
      <c r="H306" s="118"/>
      <c r="I306" s="118"/>
      <c r="J306" s="118">
        <f t="shared" si="51"/>
        <v>0</v>
      </c>
      <c r="K306" s="116">
        <f t="shared" si="55"/>
        <v>0</v>
      </c>
      <c r="L306" s="118"/>
    </row>
    <row r="307" spans="1:12" ht="11.25" customHeight="1">
      <c r="A307" s="175" t="s">
        <v>369</v>
      </c>
      <c r="B307" s="118"/>
      <c r="C307" s="118"/>
      <c r="D307" s="118"/>
      <c r="E307" s="118"/>
      <c r="F307" s="118">
        <f t="shared" si="50"/>
        <v>0</v>
      </c>
      <c r="G307" s="118">
        <f t="shared" si="54"/>
        <v>0</v>
      </c>
      <c r="H307" s="118"/>
      <c r="I307" s="118"/>
      <c r="J307" s="118">
        <f t="shared" si="51"/>
        <v>0</v>
      </c>
      <c r="K307" s="116">
        <f t="shared" si="55"/>
        <v>0</v>
      </c>
      <c r="L307" s="118"/>
    </row>
    <row r="308" spans="1:12" ht="11.25" customHeight="1">
      <c r="A308" s="175" t="s">
        <v>363</v>
      </c>
      <c r="B308" s="118"/>
      <c r="C308" s="118"/>
      <c r="D308" s="118"/>
      <c r="E308" s="118"/>
      <c r="F308" s="118">
        <f t="shared" si="50"/>
        <v>0</v>
      </c>
      <c r="G308" s="118">
        <f t="shared" si="54"/>
        <v>0</v>
      </c>
      <c r="H308" s="118"/>
      <c r="I308" s="118"/>
      <c r="J308" s="118">
        <f t="shared" si="51"/>
        <v>0</v>
      </c>
      <c r="K308" s="116">
        <f t="shared" si="55"/>
        <v>0</v>
      </c>
      <c r="L308" s="118"/>
    </row>
    <row r="309" spans="1:12" ht="11.25" customHeight="1">
      <c r="A309" s="174" t="s">
        <v>267</v>
      </c>
      <c r="B309" s="118">
        <f>SUM(B310:B313)</f>
        <v>978000</v>
      </c>
      <c r="C309" s="118">
        <f>SUM(C310:C313)</f>
        <v>978000</v>
      </c>
      <c r="D309" s="118">
        <f>SUM(D310:D313)</f>
        <v>437063.96</v>
      </c>
      <c r="E309" s="118">
        <f>SUM(E310:E313)</f>
        <v>437063.96</v>
      </c>
      <c r="F309" s="118">
        <f t="shared" si="50"/>
        <v>0.0940773618585898</v>
      </c>
      <c r="G309" s="118">
        <f>SUM(G310:G313)</f>
        <v>540936.04</v>
      </c>
      <c r="H309" s="118">
        <f>SUM(H310:H313)</f>
        <v>114006.72</v>
      </c>
      <c r="I309" s="118">
        <f>SUM(I310:I313)</f>
        <v>114006.72</v>
      </c>
      <c r="J309" s="118">
        <f t="shared" si="51"/>
        <v>0.07632224065275231</v>
      </c>
      <c r="K309" s="116">
        <f>SUM(K310:K313)</f>
        <v>863993.28</v>
      </c>
      <c r="L309" s="118">
        <f>SUM(L310:L313)</f>
        <v>0</v>
      </c>
    </row>
    <row r="310" spans="1:12" ht="11.25" customHeight="1">
      <c r="A310" s="175" t="s">
        <v>406</v>
      </c>
      <c r="B310" s="118">
        <v>358000</v>
      </c>
      <c r="C310" s="118">
        <v>358000</v>
      </c>
      <c r="D310" s="118">
        <v>347196</v>
      </c>
      <c r="E310" s="118">
        <v>347196</v>
      </c>
      <c r="F310" s="118">
        <f t="shared" si="50"/>
        <v>0.07473341825726133</v>
      </c>
      <c r="G310" s="118">
        <f>C310-E310</f>
        <v>10804</v>
      </c>
      <c r="H310" s="118">
        <v>24138.76</v>
      </c>
      <c r="I310" s="118">
        <v>24138.76</v>
      </c>
      <c r="J310" s="118">
        <f t="shared" si="51"/>
        <v>0.016159786456263554</v>
      </c>
      <c r="K310" s="116">
        <f>C310-I310</f>
        <v>333861.24</v>
      </c>
      <c r="L310" s="118"/>
    </row>
    <row r="311" spans="1:12" ht="11.25" customHeight="1">
      <c r="A311" s="175" t="s">
        <v>407</v>
      </c>
      <c r="B311" s="118">
        <v>620000</v>
      </c>
      <c r="C311" s="118">
        <v>620000</v>
      </c>
      <c r="D311" s="118">
        <v>89867.96</v>
      </c>
      <c r="E311" s="118">
        <v>89867.96</v>
      </c>
      <c r="F311" s="118">
        <f t="shared" si="50"/>
        <v>0.019343943601328448</v>
      </c>
      <c r="G311" s="118">
        <f>C311-E311</f>
        <v>530132.04</v>
      </c>
      <c r="H311" s="118">
        <v>89867.96</v>
      </c>
      <c r="I311" s="118">
        <v>89867.96</v>
      </c>
      <c r="J311" s="118">
        <f t="shared" si="51"/>
        <v>0.06016245419648876</v>
      </c>
      <c r="K311" s="116">
        <f>C311-I311</f>
        <v>530132.04</v>
      </c>
      <c r="L311" s="118"/>
    </row>
    <row r="312" spans="1:12" ht="11.25" customHeight="1">
      <c r="A312" s="175" t="s">
        <v>369</v>
      </c>
      <c r="B312" s="118"/>
      <c r="C312" s="118"/>
      <c r="D312" s="118"/>
      <c r="E312" s="118"/>
      <c r="F312" s="118">
        <f t="shared" si="50"/>
        <v>0</v>
      </c>
      <c r="G312" s="118">
        <f>C312-E312</f>
        <v>0</v>
      </c>
      <c r="H312" s="118"/>
      <c r="I312" s="118"/>
      <c r="J312" s="118">
        <f t="shared" si="51"/>
        <v>0</v>
      </c>
      <c r="K312" s="116">
        <f>C312-I312</f>
        <v>0</v>
      </c>
      <c r="L312" s="118"/>
    </row>
    <row r="313" spans="1:12" ht="11.25" customHeight="1">
      <c r="A313" s="175" t="s">
        <v>363</v>
      </c>
      <c r="B313" s="118"/>
      <c r="C313" s="118"/>
      <c r="D313" s="118"/>
      <c r="E313" s="118"/>
      <c r="F313" s="118">
        <f t="shared" si="50"/>
        <v>0</v>
      </c>
      <c r="G313" s="118">
        <f>C313-E313</f>
        <v>0</v>
      </c>
      <c r="H313" s="118"/>
      <c r="I313" s="118"/>
      <c r="J313" s="118">
        <f t="shared" si="51"/>
        <v>0</v>
      </c>
      <c r="K313" s="116">
        <f>C313-I313</f>
        <v>0</v>
      </c>
      <c r="L313" s="118"/>
    </row>
    <row r="314" spans="1:12" ht="11.25" customHeight="1">
      <c r="A314" s="174" t="s">
        <v>268</v>
      </c>
      <c r="B314" s="118">
        <f>SUM(B315:B319)</f>
        <v>0</v>
      </c>
      <c r="C314" s="118">
        <f>SUM(C315:C319)</f>
        <v>0</v>
      </c>
      <c r="D314" s="118">
        <f>SUM(D315:D319)</f>
        <v>0</v>
      </c>
      <c r="E314" s="118">
        <f>SUM(E315:E319)</f>
        <v>0</v>
      </c>
      <c r="F314" s="118">
        <f t="shared" si="50"/>
        <v>0</v>
      </c>
      <c r="G314" s="118">
        <f>SUM(G315:G319)</f>
        <v>0</v>
      </c>
      <c r="H314" s="118">
        <f>SUM(H315:H319)</f>
        <v>0</v>
      </c>
      <c r="I314" s="118">
        <f>SUM(I315:I319)</f>
        <v>0</v>
      </c>
      <c r="J314" s="118">
        <f t="shared" si="51"/>
        <v>0</v>
      </c>
      <c r="K314" s="116">
        <f>SUM(K315:K319)</f>
        <v>0</v>
      </c>
      <c r="L314" s="118">
        <f>SUM(L315:L319)</f>
        <v>0</v>
      </c>
    </row>
    <row r="315" spans="1:12" ht="11.25" customHeight="1">
      <c r="A315" s="175" t="s">
        <v>408</v>
      </c>
      <c r="B315" s="118"/>
      <c r="C315" s="118"/>
      <c r="D315" s="118"/>
      <c r="E315" s="118"/>
      <c r="F315" s="118">
        <f t="shared" si="50"/>
        <v>0</v>
      </c>
      <c r="G315" s="118">
        <f>C315-E315</f>
        <v>0</v>
      </c>
      <c r="H315" s="118"/>
      <c r="I315" s="118"/>
      <c r="J315" s="118">
        <f t="shared" si="51"/>
        <v>0</v>
      </c>
      <c r="K315" s="116">
        <f>C315-I315</f>
        <v>0</v>
      </c>
      <c r="L315" s="118"/>
    </row>
    <row r="316" spans="1:12" ht="11.25" customHeight="1">
      <c r="A316" s="175" t="s">
        <v>409</v>
      </c>
      <c r="B316" s="118"/>
      <c r="C316" s="118"/>
      <c r="D316" s="118"/>
      <c r="E316" s="118"/>
      <c r="F316" s="118">
        <f t="shared" si="50"/>
        <v>0</v>
      </c>
      <c r="G316" s="118">
        <f>C316-E316</f>
        <v>0</v>
      </c>
      <c r="H316" s="118"/>
      <c r="I316" s="118"/>
      <c r="J316" s="118">
        <f t="shared" si="51"/>
        <v>0</v>
      </c>
      <c r="K316" s="116">
        <f>C316-I316</f>
        <v>0</v>
      </c>
      <c r="L316" s="118"/>
    </row>
    <row r="317" spans="1:12" ht="11.25" customHeight="1">
      <c r="A317" s="175" t="s">
        <v>410</v>
      </c>
      <c r="B317" s="118"/>
      <c r="C317" s="118"/>
      <c r="D317" s="118"/>
      <c r="E317" s="118"/>
      <c r="F317" s="118">
        <f t="shared" si="50"/>
        <v>0</v>
      </c>
      <c r="G317" s="118">
        <f>C317-E317</f>
        <v>0</v>
      </c>
      <c r="H317" s="118"/>
      <c r="I317" s="118"/>
      <c r="J317" s="118">
        <f t="shared" si="51"/>
        <v>0</v>
      </c>
      <c r="K317" s="116">
        <f>C317-I317</f>
        <v>0</v>
      </c>
      <c r="L317" s="118"/>
    </row>
    <row r="318" spans="1:12" ht="11.25" customHeight="1">
      <c r="A318" s="175" t="s">
        <v>369</v>
      </c>
      <c r="B318" s="118"/>
      <c r="C318" s="118"/>
      <c r="D318" s="118"/>
      <c r="E318" s="118"/>
      <c r="F318" s="118">
        <f aca="true" t="shared" si="56" ref="F318:F349">IF($E$214&gt;0,E318/$E$214,0)*100</f>
        <v>0</v>
      </c>
      <c r="G318" s="118">
        <f>C318-E318</f>
        <v>0</v>
      </c>
      <c r="H318" s="118"/>
      <c r="I318" s="118"/>
      <c r="J318" s="118">
        <f aca="true" t="shared" si="57" ref="J318:J349">IF($I$214&gt;0,I318/$I$214,0)*100</f>
        <v>0</v>
      </c>
      <c r="K318" s="116">
        <f>C318-I318</f>
        <v>0</v>
      </c>
      <c r="L318" s="118"/>
    </row>
    <row r="319" spans="1:12" ht="11.25" customHeight="1">
      <c r="A319" s="175" t="s">
        <v>363</v>
      </c>
      <c r="B319" s="118"/>
      <c r="C319" s="118"/>
      <c r="D319" s="118"/>
      <c r="E319" s="118"/>
      <c r="F319" s="118">
        <f t="shared" si="56"/>
        <v>0</v>
      </c>
      <c r="G319" s="118">
        <f>C319-E319</f>
        <v>0</v>
      </c>
      <c r="H319" s="118"/>
      <c r="I319" s="118"/>
      <c r="J319" s="118">
        <f t="shared" si="57"/>
        <v>0</v>
      </c>
      <c r="K319" s="116">
        <f>C319-I319</f>
        <v>0</v>
      </c>
      <c r="L319" s="118"/>
    </row>
    <row r="320" spans="1:12" ht="11.25" customHeight="1">
      <c r="A320" s="174" t="s">
        <v>269</v>
      </c>
      <c r="B320" s="118">
        <f>SUM(B321:B325)</f>
        <v>3860000</v>
      </c>
      <c r="C320" s="118">
        <f>SUM(C321:C325)</f>
        <v>3860000</v>
      </c>
      <c r="D320" s="118">
        <f>SUM(D321:D325)</f>
        <v>566264.45</v>
      </c>
      <c r="E320" s="118">
        <f>SUM(E321:E325)</f>
        <v>566264.45</v>
      </c>
      <c r="F320" s="118">
        <f t="shared" si="56"/>
        <v>0.12188757354943043</v>
      </c>
      <c r="G320" s="118">
        <f>SUM(G321:G325)</f>
        <v>3293735.55</v>
      </c>
      <c r="H320" s="118">
        <f>SUM(H321:H325)</f>
        <v>562264.45</v>
      </c>
      <c r="I320" s="118">
        <f>SUM(I321:I325)</f>
        <v>562264.45</v>
      </c>
      <c r="J320" s="118">
        <f t="shared" si="57"/>
        <v>0.37641011567903554</v>
      </c>
      <c r="K320" s="116">
        <f>SUM(K321:K325)</f>
        <v>3297735.55</v>
      </c>
      <c r="L320" s="118">
        <f>SUM(L321:L325)</f>
        <v>0</v>
      </c>
    </row>
    <row r="321" spans="1:12" ht="11.25" customHeight="1">
      <c r="A321" s="175" t="s">
        <v>411</v>
      </c>
      <c r="B321" s="118">
        <v>2125000</v>
      </c>
      <c r="C321" s="118">
        <v>2125000</v>
      </c>
      <c r="D321" s="118">
        <v>308680.32</v>
      </c>
      <c r="E321" s="118">
        <v>308680.32</v>
      </c>
      <c r="F321" s="118">
        <f t="shared" si="56"/>
        <v>0.06644297590509474</v>
      </c>
      <c r="G321" s="118">
        <f>C321-E321</f>
        <v>1816319.68</v>
      </c>
      <c r="H321" s="118">
        <v>308680.32</v>
      </c>
      <c r="I321" s="118">
        <v>308680.32</v>
      </c>
      <c r="J321" s="118">
        <f t="shared" si="57"/>
        <v>0.20664723682786937</v>
      </c>
      <c r="K321" s="116">
        <f>C321-I321</f>
        <v>1816319.68</v>
      </c>
      <c r="L321" s="118"/>
    </row>
    <row r="322" spans="1:12" ht="11.25" customHeight="1">
      <c r="A322" s="175" t="s">
        <v>412</v>
      </c>
      <c r="B322" s="118">
        <v>1735000</v>
      </c>
      <c r="C322" s="118">
        <v>1735000</v>
      </c>
      <c r="D322" s="118">
        <v>257584.13</v>
      </c>
      <c r="E322" s="118">
        <v>257584.13</v>
      </c>
      <c r="F322" s="118">
        <f t="shared" si="56"/>
        <v>0.0554445976443357</v>
      </c>
      <c r="G322" s="118">
        <f>C322-E322</f>
        <v>1477415.87</v>
      </c>
      <c r="H322" s="118">
        <v>253584.13</v>
      </c>
      <c r="I322" s="118">
        <v>253584.13</v>
      </c>
      <c r="J322" s="118">
        <f t="shared" si="57"/>
        <v>0.1697628788511662</v>
      </c>
      <c r="K322" s="116">
        <f>C322-I322</f>
        <v>1481415.87</v>
      </c>
      <c r="L322" s="118"/>
    </row>
    <row r="323" spans="1:12" ht="11.25" customHeight="1">
      <c r="A323" s="175" t="s">
        <v>413</v>
      </c>
      <c r="B323" s="118"/>
      <c r="C323" s="118"/>
      <c r="D323" s="118"/>
      <c r="E323" s="118"/>
      <c r="F323" s="118">
        <f t="shared" si="56"/>
        <v>0</v>
      </c>
      <c r="G323" s="118">
        <f>C323-E323</f>
        <v>0</v>
      </c>
      <c r="H323" s="118"/>
      <c r="I323" s="118"/>
      <c r="J323" s="118">
        <f t="shared" si="57"/>
        <v>0</v>
      </c>
      <c r="K323" s="116">
        <f>C323-I323</f>
        <v>0</v>
      </c>
      <c r="L323" s="118"/>
    </row>
    <row r="324" spans="1:12" ht="11.25" customHeight="1">
      <c r="A324" s="175" t="s">
        <v>369</v>
      </c>
      <c r="B324" s="118"/>
      <c r="C324" s="118"/>
      <c r="D324" s="118"/>
      <c r="E324" s="118"/>
      <c r="F324" s="118">
        <f t="shared" si="56"/>
        <v>0</v>
      </c>
      <c r="G324" s="118">
        <f>C324-E324</f>
        <v>0</v>
      </c>
      <c r="H324" s="118"/>
      <c r="I324" s="118"/>
      <c r="J324" s="118">
        <f t="shared" si="57"/>
        <v>0</v>
      </c>
      <c r="K324" s="116">
        <f>C324-I324</f>
        <v>0</v>
      </c>
      <c r="L324" s="118"/>
    </row>
    <row r="325" spans="1:12" ht="11.25" customHeight="1">
      <c r="A325" s="175" t="s">
        <v>363</v>
      </c>
      <c r="B325" s="118"/>
      <c r="C325" s="118"/>
      <c r="D325" s="118"/>
      <c r="E325" s="118"/>
      <c r="F325" s="118">
        <f t="shared" si="56"/>
        <v>0</v>
      </c>
      <c r="G325" s="118">
        <f>C325-E325</f>
        <v>0</v>
      </c>
      <c r="H325" s="118"/>
      <c r="I325" s="118"/>
      <c r="J325" s="118">
        <f t="shared" si="57"/>
        <v>0</v>
      </c>
      <c r="K325" s="116">
        <f>C325-I325</f>
        <v>0</v>
      </c>
      <c r="L325" s="118"/>
    </row>
    <row r="326" spans="1:12" ht="11.25" customHeight="1">
      <c r="A326" s="174" t="s">
        <v>270</v>
      </c>
      <c r="B326" s="118">
        <f>SUM(B327:B330)</f>
        <v>275000</v>
      </c>
      <c r="C326" s="118">
        <f>SUM(C327:C330)</f>
        <v>275000</v>
      </c>
      <c r="D326" s="118">
        <f>SUM(D327:D330)</f>
        <v>42058.75</v>
      </c>
      <c r="E326" s="118">
        <f>SUM(E327:E330)</f>
        <v>42058.75</v>
      </c>
      <c r="F326" s="118">
        <f t="shared" si="56"/>
        <v>0.009053082855584713</v>
      </c>
      <c r="G326" s="118">
        <f>SUM(G327:G330)</f>
        <v>232941.25</v>
      </c>
      <c r="H326" s="118">
        <f>SUM(H327:H330)</f>
        <v>40198.75</v>
      </c>
      <c r="I326" s="118">
        <f>SUM(I327:I330)</f>
        <v>40198.75</v>
      </c>
      <c r="J326" s="118">
        <f t="shared" si="57"/>
        <v>0.026911209018554583</v>
      </c>
      <c r="K326" s="116">
        <f>SUM(K327:K330)</f>
        <v>234801.25</v>
      </c>
      <c r="L326" s="118">
        <f>SUM(L327:L330)</f>
        <v>0</v>
      </c>
    </row>
    <row r="327" spans="1:12" ht="11.25" customHeight="1">
      <c r="A327" s="175" t="s">
        <v>414</v>
      </c>
      <c r="B327" s="118"/>
      <c r="C327" s="118"/>
      <c r="D327" s="118"/>
      <c r="E327" s="118"/>
      <c r="F327" s="118">
        <f t="shared" si="56"/>
        <v>0</v>
      </c>
      <c r="G327" s="118">
        <f>C327-E327</f>
        <v>0</v>
      </c>
      <c r="H327" s="118"/>
      <c r="I327" s="118"/>
      <c r="J327" s="118">
        <f t="shared" si="57"/>
        <v>0</v>
      </c>
      <c r="K327" s="116">
        <f>C327-I327</f>
        <v>0</v>
      </c>
      <c r="L327" s="118"/>
    </row>
    <row r="328" spans="1:12" ht="11.25" customHeight="1">
      <c r="A328" s="175" t="s">
        <v>415</v>
      </c>
      <c r="B328" s="118">
        <v>275000</v>
      </c>
      <c r="C328" s="118">
        <v>275000</v>
      </c>
      <c r="D328" s="118">
        <v>42058.75</v>
      </c>
      <c r="E328" s="118">
        <v>42058.75</v>
      </c>
      <c r="F328" s="118">
        <f t="shared" si="56"/>
        <v>0.009053082855584713</v>
      </c>
      <c r="G328" s="118">
        <f>C328-E328</f>
        <v>232941.25</v>
      </c>
      <c r="H328" s="118">
        <v>40198.75</v>
      </c>
      <c r="I328" s="118">
        <v>40198.75</v>
      </c>
      <c r="J328" s="118">
        <f t="shared" si="57"/>
        <v>0.026911209018554583</v>
      </c>
      <c r="K328" s="116">
        <f>C328-I328</f>
        <v>234801.25</v>
      </c>
      <c r="L328" s="118"/>
    </row>
    <row r="329" spans="1:12" ht="11.25" customHeight="1">
      <c r="A329" s="175" t="s">
        <v>369</v>
      </c>
      <c r="B329" s="118"/>
      <c r="C329" s="118"/>
      <c r="D329" s="118"/>
      <c r="E329" s="118"/>
      <c r="F329" s="118">
        <f t="shared" si="56"/>
        <v>0</v>
      </c>
      <c r="G329" s="118">
        <f>C329-E329</f>
        <v>0</v>
      </c>
      <c r="H329" s="118"/>
      <c r="I329" s="118"/>
      <c r="J329" s="118">
        <f t="shared" si="57"/>
        <v>0</v>
      </c>
      <c r="K329" s="116">
        <f>C329-I329</f>
        <v>0</v>
      </c>
      <c r="L329" s="118"/>
    </row>
    <row r="330" spans="1:12" ht="11.25" customHeight="1">
      <c r="A330" s="175" t="s">
        <v>363</v>
      </c>
      <c r="B330" s="118"/>
      <c r="C330" s="118"/>
      <c r="D330" s="118"/>
      <c r="E330" s="118"/>
      <c r="F330" s="118">
        <f t="shared" si="56"/>
        <v>0</v>
      </c>
      <c r="G330" s="118">
        <f>C330-E330</f>
        <v>0</v>
      </c>
      <c r="H330" s="118"/>
      <c r="I330" s="118"/>
      <c r="J330" s="118">
        <f t="shared" si="57"/>
        <v>0</v>
      </c>
      <c r="K330" s="116">
        <f>C330-I330</f>
        <v>0</v>
      </c>
      <c r="L330" s="118"/>
    </row>
    <row r="331" spans="1:12" ht="11.25" customHeight="1">
      <c r="A331" s="174" t="s">
        <v>271</v>
      </c>
      <c r="B331" s="118">
        <f>SUM(B332:B335)</f>
        <v>12455000</v>
      </c>
      <c r="C331" s="118">
        <f>SUM(C332:C335)</f>
        <v>12455000</v>
      </c>
      <c r="D331" s="118">
        <f>SUM(D332:D335)</f>
        <v>1831603.79</v>
      </c>
      <c r="E331" s="118">
        <f>SUM(E332:E335)</f>
        <v>1831603.79</v>
      </c>
      <c r="F331" s="118">
        <f t="shared" si="56"/>
        <v>0.3942499686622399</v>
      </c>
      <c r="G331" s="118">
        <f>SUM(G332:G335)</f>
        <v>10623396.21</v>
      </c>
      <c r="H331" s="118">
        <f>SUM(H332:H335)</f>
        <v>1295254.68</v>
      </c>
      <c r="I331" s="118">
        <f>SUM(I332:I335)</f>
        <v>1295254.68</v>
      </c>
      <c r="J331" s="118">
        <f t="shared" si="57"/>
        <v>0.8671132666001063</v>
      </c>
      <c r="K331" s="116">
        <f>SUM(K332:K335)</f>
        <v>11159745.32</v>
      </c>
      <c r="L331" s="118">
        <f>SUM(L332:L335)</f>
        <v>0</v>
      </c>
    </row>
    <row r="332" spans="1:12" ht="11.25" customHeight="1">
      <c r="A332" s="175" t="s">
        <v>416</v>
      </c>
      <c r="B332" s="118"/>
      <c r="C332" s="118"/>
      <c r="D332" s="118"/>
      <c r="E332" s="118"/>
      <c r="F332" s="118">
        <f t="shared" si="56"/>
        <v>0</v>
      </c>
      <c r="G332" s="118">
        <f>C332-E332</f>
        <v>0</v>
      </c>
      <c r="H332" s="118"/>
      <c r="I332" s="118"/>
      <c r="J332" s="118">
        <f t="shared" si="57"/>
        <v>0</v>
      </c>
      <c r="K332" s="116">
        <f>C332-I332</f>
        <v>0</v>
      </c>
      <c r="L332" s="118"/>
    </row>
    <row r="333" spans="1:12" ht="11.25" customHeight="1">
      <c r="A333" s="175" t="s">
        <v>417</v>
      </c>
      <c r="B333" s="118">
        <v>12455000</v>
      </c>
      <c r="C333" s="118">
        <v>12455000</v>
      </c>
      <c r="D333" s="118">
        <v>1831603.79</v>
      </c>
      <c r="E333" s="118">
        <v>1831603.79</v>
      </c>
      <c r="F333" s="118">
        <f t="shared" si="56"/>
        <v>0.3942499686622399</v>
      </c>
      <c r="G333" s="118">
        <f>C333-E333</f>
        <v>10623396.21</v>
      </c>
      <c r="H333" s="118">
        <v>1295254.68</v>
      </c>
      <c r="I333" s="118">
        <v>1295254.68</v>
      </c>
      <c r="J333" s="118">
        <f t="shared" si="57"/>
        <v>0.8671132666001063</v>
      </c>
      <c r="K333" s="116">
        <f>C333-I333</f>
        <v>11159745.32</v>
      </c>
      <c r="L333" s="118"/>
    </row>
    <row r="334" spans="1:12" ht="11.25" customHeight="1">
      <c r="A334" s="175" t="s">
        <v>369</v>
      </c>
      <c r="B334" s="118"/>
      <c r="C334" s="118"/>
      <c r="D334" s="118"/>
      <c r="E334" s="118"/>
      <c r="F334" s="118">
        <f t="shared" si="56"/>
        <v>0</v>
      </c>
      <c r="G334" s="118">
        <f>C334-E334</f>
        <v>0</v>
      </c>
      <c r="H334" s="118"/>
      <c r="I334" s="118"/>
      <c r="J334" s="118">
        <f t="shared" si="57"/>
        <v>0</v>
      </c>
      <c r="K334" s="116">
        <f>C334-I334</f>
        <v>0</v>
      </c>
      <c r="L334" s="118"/>
    </row>
    <row r="335" spans="1:12" ht="11.25" customHeight="1">
      <c r="A335" s="175" t="s">
        <v>363</v>
      </c>
      <c r="B335" s="118"/>
      <c r="C335" s="118"/>
      <c r="D335" s="118"/>
      <c r="E335" s="118"/>
      <c r="F335" s="118">
        <f t="shared" si="56"/>
        <v>0</v>
      </c>
      <c r="G335" s="118">
        <f>C335-E335</f>
        <v>0</v>
      </c>
      <c r="H335" s="118"/>
      <c r="I335" s="118"/>
      <c r="J335" s="118">
        <f t="shared" si="57"/>
        <v>0</v>
      </c>
      <c r="K335" s="116">
        <f>C335-I335</f>
        <v>0</v>
      </c>
      <c r="L335" s="118"/>
    </row>
    <row r="336" spans="1:12" ht="11.25" customHeight="1">
      <c r="A336" s="174" t="s">
        <v>272</v>
      </c>
      <c r="B336" s="118">
        <f>SUM(B337:B343)</f>
        <v>0</v>
      </c>
      <c r="C336" s="118">
        <f>SUM(C337:C343)</f>
        <v>0</v>
      </c>
      <c r="D336" s="118">
        <f>SUM(D337:D343)</f>
        <v>0</v>
      </c>
      <c r="E336" s="118">
        <f>SUM(E337:E343)</f>
        <v>0</v>
      </c>
      <c r="F336" s="118">
        <f t="shared" si="56"/>
        <v>0</v>
      </c>
      <c r="G336" s="118">
        <f>SUM(G337:G343)</f>
        <v>0</v>
      </c>
      <c r="H336" s="118">
        <f>SUM(H337:H343)</f>
        <v>0</v>
      </c>
      <c r="I336" s="118">
        <f>SUM(I337:I343)</f>
        <v>0</v>
      </c>
      <c r="J336" s="118">
        <f t="shared" si="57"/>
        <v>0</v>
      </c>
      <c r="K336" s="116">
        <f>SUM(K337:K343)</f>
        <v>0</v>
      </c>
      <c r="L336" s="118">
        <f>SUM(L337:L343)</f>
        <v>0</v>
      </c>
    </row>
    <row r="337" spans="1:12" ht="11.25" customHeight="1">
      <c r="A337" s="175" t="s">
        <v>418</v>
      </c>
      <c r="B337" s="118"/>
      <c r="C337" s="118"/>
      <c r="D337" s="118"/>
      <c r="E337" s="118"/>
      <c r="F337" s="118">
        <f t="shared" si="56"/>
        <v>0</v>
      </c>
      <c r="G337" s="118">
        <f aca="true" t="shared" si="58" ref="G337:G343">C337-E337</f>
        <v>0</v>
      </c>
      <c r="H337" s="118"/>
      <c r="I337" s="118"/>
      <c r="J337" s="118">
        <f t="shared" si="57"/>
        <v>0</v>
      </c>
      <c r="K337" s="116">
        <f aca="true" t="shared" si="59" ref="K337:K343">C337-I337</f>
        <v>0</v>
      </c>
      <c r="L337" s="118"/>
    </row>
    <row r="338" spans="1:12" ht="11.25" customHeight="1">
      <c r="A338" s="175" t="s">
        <v>419</v>
      </c>
      <c r="B338" s="118"/>
      <c r="C338" s="118"/>
      <c r="D338" s="118"/>
      <c r="E338" s="118"/>
      <c r="F338" s="118">
        <f t="shared" si="56"/>
        <v>0</v>
      </c>
      <c r="G338" s="118">
        <f t="shared" si="58"/>
        <v>0</v>
      </c>
      <c r="H338" s="118"/>
      <c r="I338" s="118"/>
      <c r="J338" s="118">
        <f t="shared" si="57"/>
        <v>0</v>
      </c>
      <c r="K338" s="116">
        <f t="shared" si="59"/>
        <v>0</v>
      </c>
      <c r="L338" s="118"/>
    </row>
    <row r="339" spans="1:12" ht="11.25" customHeight="1">
      <c r="A339" s="175" t="s">
        <v>420</v>
      </c>
      <c r="B339" s="118"/>
      <c r="C339" s="118"/>
      <c r="D339" s="118"/>
      <c r="E339" s="118"/>
      <c r="F339" s="118">
        <f t="shared" si="56"/>
        <v>0</v>
      </c>
      <c r="G339" s="118">
        <f t="shared" si="58"/>
        <v>0</v>
      </c>
      <c r="H339" s="118"/>
      <c r="I339" s="118"/>
      <c r="J339" s="118">
        <f t="shared" si="57"/>
        <v>0</v>
      </c>
      <c r="K339" s="116">
        <f t="shared" si="59"/>
        <v>0</v>
      </c>
      <c r="L339" s="118"/>
    </row>
    <row r="340" spans="1:12" ht="11.25" customHeight="1">
      <c r="A340" s="175" t="s">
        <v>421</v>
      </c>
      <c r="B340" s="118"/>
      <c r="C340" s="118"/>
      <c r="D340" s="118"/>
      <c r="E340" s="118"/>
      <c r="F340" s="118">
        <f t="shared" si="56"/>
        <v>0</v>
      </c>
      <c r="G340" s="118">
        <f t="shared" si="58"/>
        <v>0</v>
      </c>
      <c r="H340" s="118"/>
      <c r="I340" s="118"/>
      <c r="J340" s="118">
        <f t="shared" si="57"/>
        <v>0</v>
      </c>
      <c r="K340" s="116">
        <f t="shared" si="59"/>
        <v>0</v>
      </c>
      <c r="L340" s="118"/>
    </row>
    <row r="341" spans="1:12" ht="11.25" customHeight="1">
      <c r="A341" s="175" t="s">
        <v>422</v>
      </c>
      <c r="B341" s="118"/>
      <c r="C341" s="118"/>
      <c r="D341" s="118"/>
      <c r="E341" s="118"/>
      <c r="F341" s="118">
        <f t="shared" si="56"/>
        <v>0</v>
      </c>
      <c r="G341" s="118">
        <f t="shared" si="58"/>
        <v>0</v>
      </c>
      <c r="H341" s="118"/>
      <c r="I341" s="118"/>
      <c r="J341" s="118">
        <f t="shared" si="57"/>
        <v>0</v>
      </c>
      <c r="K341" s="116">
        <f t="shared" si="59"/>
        <v>0</v>
      </c>
      <c r="L341" s="118"/>
    </row>
    <row r="342" spans="1:12" ht="11.25" customHeight="1">
      <c r="A342" s="175" t="s">
        <v>369</v>
      </c>
      <c r="B342" s="118"/>
      <c r="C342" s="118"/>
      <c r="D342" s="118"/>
      <c r="E342" s="118"/>
      <c r="F342" s="118">
        <f t="shared" si="56"/>
        <v>0</v>
      </c>
      <c r="G342" s="118">
        <f t="shared" si="58"/>
        <v>0</v>
      </c>
      <c r="H342" s="118"/>
      <c r="I342" s="118"/>
      <c r="J342" s="118">
        <f t="shared" si="57"/>
        <v>0</v>
      </c>
      <c r="K342" s="116">
        <f t="shared" si="59"/>
        <v>0</v>
      </c>
      <c r="L342" s="118"/>
    </row>
    <row r="343" spans="1:12" ht="11.25" customHeight="1">
      <c r="A343" s="175" t="s">
        <v>363</v>
      </c>
      <c r="B343" s="118"/>
      <c r="C343" s="118"/>
      <c r="D343" s="118"/>
      <c r="E343" s="118"/>
      <c r="F343" s="118">
        <f t="shared" si="56"/>
        <v>0</v>
      </c>
      <c r="G343" s="118">
        <f t="shared" si="58"/>
        <v>0</v>
      </c>
      <c r="H343" s="118"/>
      <c r="I343" s="118"/>
      <c r="J343" s="118">
        <f t="shared" si="57"/>
        <v>0</v>
      </c>
      <c r="K343" s="116">
        <f t="shared" si="59"/>
        <v>0</v>
      </c>
      <c r="L343" s="118"/>
    </row>
    <row r="344" spans="1:12" ht="11.25" customHeight="1">
      <c r="A344" s="174" t="s">
        <v>273</v>
      </c>
      <c r="B344" s="118">
        <f>SUM(B345:B349)</f>
        <v>0</v>
      </c>
      <c r="C344" s="118">
        <f>SUM(C345:C349)</f>
        <v>0</v>
      </c>
      <c r="D344" s="118">
        <f>SUM(D345:D349)</f>
        <v>0</v>
      </c>
      <c r="E344" s="118">
        <f>SUM(E345:E349)</f>
        <v>0</v>
      </c>
      <c r="F344" s="118">
        <f t="shared" si="56"/>
        <v>0</v>
      </c>
      <c r="G344" s="118">
        <f>SUM(G345:G349)</f>
        <v>0</v>
      </c>
      <c r="H344" s="118">
        <f>SUM(H345:H349)</f>
        <v>0</v>
      </c>
      <c r="I344" s="118">
        <f>SUM(I345:I349)</f>
        <v>0</v>
      </c>
      <c r="J344" s="118">
        <f t="shared" si="57"/>
        <v>0</v>
      </c>
      <c r="K344" s="116">
        <f>SUM(K345:K349)</f>
        <v>0</v>
      </c>
      <c r="L344" s="118">
        <f>SUM(L345:L349)</f>
        <v>0</v>
      </c>
    </row>
    <row r="345" spans="1:12" ht="11.25" customHeight="1">
      <c r="A345" s="175" t="s">
        <v>423</v>
      </c>
      <c r="B345" s="118"/>
      <c r="C345" s="118"/>
      <c r="D345" s="118"/>
      <c r="E345" s="118"/>
      <c r="F345" s="118">
        <f t="shared" si="56"/>
        <v>0</v>
      </c>
      <c r="G345" s="118">
        <f>C345-E345</f>
        <v>0</v>
      </c>
      <c r="H345" s="118"/>
      <c r="I345" s="118"/>
      <c r="J345" s="118">
        <f t="shared" si="57"/>
        <v>0</v>
      </c>
      <c r="K345" s="116">
        <f>C345-I345</f>
        <v>0</v>
      </c>
      <c r="L345" s="118"/>
    </row>
    <row r="346" spans="1:12" ht="11.25" customHeight="1">
      <c r="A346" s="175" t="s">
        <v>424</v>
      </c>
      <c r="B346" s="118"/>
      <c r="C346" s="118"/>
      <c r="D346" s="118"/>
      <c r="E346" s="118"/>
      <c r="F346" s="118">
        <f t="shared" si="56"/>
        <v>0</v>
      </c>
      <c r="G346" s="118">
        <f>C346-E346</f>
        <v>0</v>
      </c>
      <c r="H346" s="118"/>
      <c r="I346" s="118"/>
      <c r="J346" s="118">
        <f t="shared" si="57"/>
        <v>0</v>
      </c>
      <c r="K346" s="116">
        <f>C346-I346</f>
        <v>0</v>
      </c>
      <c r="L346" s="118"/>
    </row>
    <row r="347" spans="1:12" ht="11.25" customHeight="1">
      <c r="A347" s="175" t="s">
        <v>425</v>
      </c>
      <c r="B347" s="118"/>
      <c r="C347" s="118"/>
      <c r="D347" s="118"/>
      <c r="E347" s="118"/>
      <c r="F347" s="118">
        <f t="shared" si="56"/>
        <v>0</v>
      </c>
      <c r="G347" s="118">
        <f>C347-E347</f>
        <v>0</v>
      </c>
      <c r="H347" s="118"/>
      <c r="I347" s="118"/>
      <c r="J347" s="118">
        <f t="shared" si="57"/>
        <v>0</v>
      </c>
      <c r="K347" s="116">
        <f>C347-I347</f>
        <v>0</v>
      </c>
      <c r="L347" s="118"/>
    </row>
    <row r="348" spans="1:12" ht="11.25" customHeight="1">
      <c r="A348" s="175" t="s">
        <v>369</v>
      </c>
      <c r="B348" s="118"/>
      <c r="C348" s="118"/>
      <c r="D348" s="118"/>
      <c r="E348" s="118"/>
      <c r="F348" s="118">
        <f t="shared" si="56"/>
        <v>0</v>
      </c>
      <c r="G348" s="118">
        <f>C348-E348</f>
        <v>0</v>
      </c>
      <c r="H348" s="118"/>
      <c r="I348" s="118"/>
      <c r="J348" s="118">
        <f t="shared" si="57"/>
        <v>0</v>
      </c>
      <c r="K348" s="116">
        <f>C348-I348</f>
        <v>0</v>
      </c>
      <c r="L348" s="118"/>
    </row>
    <row r="349" spans="1:12" ht="11.25" customHeight="1">
      <c r="A349" s="175" t="s">
        <v>363</v>
      </c>
      <c r="B349" s="118"/>
      <c r="C349" s="118"/>
      <c r="D349" s="118"/>
      <c r="E349" s="118"/>
      <c r="F349" s="118">
        <f t="shared" si="56"/>
        <v>0</v>
      </c>
      <c r="G349" s="118">
        <f>C349-E349</f>
        <v>0</v>
      </c>
      <c r="H349" s="118"/>
      <c r="I349" s="118"/>
      <c r="J349" s="118">
        <f t="shared" si="57"/>
        <v>0</v>
      </c>
      <c r="K349" s="116">
        <f>C349-I349</f>
        <v>0</v>
      </c>
      <c r="L349" s="118"/>
    </row>
    <row r="350" spans="1:12" ht="11.25" customHeight="1">
      <c r="A350" s="174" t="s">
        <v>274</v>
      </c>
      <c r="B350" s="118">
        <f>SUM(B351:B357)</f>
        <v>0</v>
      </c>
      <c r="C350" s="118">
        <f>SUM(C351:C357)</f>
        <v>0</v>
      </c>
      <c r="D350" s="118">
        <f>SUM(D351:D357)</f>
        <v>0</v>
      </c>
      <c r="E350" s="118">
        <f>SUM(E351:E357)</f>
        <v>0</v>
      </c>
      <c r="F350" s="118">
        <f aca="true" t="shared" si="60" ref="F350:F381">IF($E$214&gt;0,E350/$E$214,0)*100</f>
        <v>0</v>
      </c>
      <c r="G350" s="118">
        <f>SUM(G351:G357)</f>
        <v>0</v>
      </c>
      <c r="H350" s="118">
        <f>SUM(H351:H357)</f>
        <v>0</v>
      </c>
      <c r="I350" s="118">
        <f>SUM(I351:I357)</f>
        <v>0</v>
      </c>
      <c r="J350" s="118">
        <f aca="true" t="shared" si="61" ref="J350:J381">IF($I$214&gt;0,I350/$I$214,0)*100</f>
        <v>0</v>
      </c>
      <c r="K350" s="116">
        <f>SUM(K351:K357)</f>
        <v>0</v>
      </c>
      <c r="L350" s="118">
        <f>SUM(L351:L357)</f>
        <v>0</v>
      </c>
    </row>
    <row r="351" spans="1:12" ht="11.25" customHeight="1">
      <c r="A351" s="175" t="s">
        <v>426</v>
      </c>
      <c r="B351" s="118"/>
      <c r="C351" s="118"/>
      <c r="D351" s="118"/>
      <c r="E351" s="118"/>
      <c r="F351" s="118">
        <f t="shared" si="60"/>
        <v>0</v>
      </c>
      <c r="G351" s="118">
        <f aca="true" t="shared" si="62" ref="G351:G357">C351-E351</f>
        <v>0</v>
      </c>
      <c r="H351" s="118"/>
      <c r="I351" s="118"/>
      <c r="J351" s="118">
        <f t="shared" si="61"/>
        <v>0</v>
      </c>
      <c r="K351" s="116">
        <f aca="true" t="shared" si="63" ref="K351:K357">C351-I351</f>
        <v>0</v>
      </c>
      <c r="L351" s="118"/>
    </row>
    <row r="352" spans="1:12" ht="11.25" customHeight="1">
      <c r="A352" s="175" t="s">
        <v>427</v>
      </c>
      <c r="B352" s="118"/>
      <c r="C352" s="118"/>
      <c r="D352" s="118"/>
      <c r="E352" s="118"/>
      <c r="F352" s="118">
        <f t="shared" si="60"/>
        <v>0</v>
      </c>
      <c r="G352" s="118">
        <f t="shared" si="62"/>
        <v>0</v>
      </c>
      <c r="H352" s="118"/>
      <c r="I352" s="118"/>
      <c r="J352" s="118">
        <f t="shared" si="61"/>
        <v>0</v>
      </c>
      <c r="K352" s="116">
        <f t="shared" si="63"/>
        <v>0</v>
      </c>
      <c r="L352" s="118"/>
    </row>
    <row r="353" spans="1:12" ht="11.25" customHeight="1">
      <c r="A353" s="175" t="s">
        <v>428</v>
      </c>
      <c r="B353" s="118"/>
      <c r="C353" s="118"/>
      <c r="D353" s="118"/>
      <c r="E353" s="118"/>
      <c r="F353" s="118">
        <f t="shared" si="60"/>
        <v>0</v>
      </c>
      <c r="G353" s="118">
        <f t="shared" si="62"/>
        <v>0</v>
      </c>
      <c r="H353" s="118"/>
      <c r="I353" s="118"/>
      <c r="J353" s="118">
        <f t="shared" si="61"/>
        <v>0</v>
      </c>
      <c r="K353" s="116">
        <f t="shared" si="63"/>
        <v>0</v>
      </c>
      <c r="L353" s="118"/>
    </row>
    <row r="354" spans="1:12" ht="11.25" customHeight="1">
      <c r="A354" s="175" t="s">
        <v>638</v>
      </c>
      <c r="B354" s="118"/>
      <c r="C354" s="118"/>
      <c r="D354" s="118"/>
      <c r="E354" s="118"/>
      <c r="F354" s="118">
        <f t="shared" si="60"/>
        <v>0</v>
      </c>
      <c r="G354" s="118">
        <f t="shared" si="62"/>
        <v>0</v>
      </c>
      <c r="H354" s="118"/>
      <c r="I354" s="118"/>
      <c r="J354" s="118">
        <f t="shared" si="61"/>
        <v>0</v>
      </c>
      <c r="K354" s="116">
        <f t="shared" si="63"/>
        <v>0</v>
      </c>
      <c r="L354" s="118"/>
    </row>
    <row r="355" spans="1:12" ht="11.25" customHeight="1">
      <c r="A355" s="175" t="s">
        <v>639</v>
      </c>
      <c r="B355" s="118"/>
      <c r="C355" s="118"/>
      <c r="D355" s="118"/>
      <c r="E355" s="118"/>
      <c r="F355" s="118">
        <f t="shared" si="60"/>
        <v>0</v>
      </c>
      <c r="G355" s="118">
        <f t="shared" si="62"/>
        <v>0</v>
      </c>
      <c r="H355" s="118"/>
      <c r="I355" s="118"/>
      <c r="J355" s="118">
        <f t="shared" si="61"/>
        <v>0</v>
      </c>
      <c r="K355" s="116">
        <f t="shared" si="63"/>
        <v>0</v>
      </c>
      <c r="L355" s="118"/>
    </row>
    <row r="356" spans="1:12" ht="11.25" customHeight="1">
      <c r="A356" s="175" t="s">
        <v>369</v>
      </c>
      <c r="B356" s="118"/>
      <c r="C356" s="118"/>
      <c r="D356" s="118"/>
      <c r="E356" s="118"/>
      <c r="F356" s="118">
        <f t="shared" si="60"/>
        <v>0</v>
      </c>
      <c r="G356" s="118">
        <f t="shared" si="62"/>
        <v>0</v>
      </c>
      <c r="H356" s="118"/>
      <c r="I356" s="118"/>
      <c r="J356" s="118">
        <f t="shared" si="61"/>
        <v>0</v>
      </c>
      <c r="K356" s="116">
        <f t="shared" si="63"/>
        <v>0</v>
      </c>
      <c r="L356" s="118"/>
    </row>
    <row r="357" spans="1:12" ht="11.25" customHeight="1">
      <c r="A357" s="175" t="s">
        <v>363</v>
      </c>
      <c r="B357" s="118"/>
      <c r="C357" s="118"/>
      <c r="D357" s="118"/>
      <c r="E357" s="118"/>
      <c r="F357" s="118">
        <f t="shared" si="60"/>
        <v>0</v>
      </c>
      <c r="G357" s="118">
        <f t="shared" si="62"/>
        <v>0</v>
      </c>
      <c r="H357" s="118"/>
      <c r="I357" s="118"/>
      <c r="J357" s="118">
        <f t="shared" si="61"/>
        <v>0</v>
      </c>
      <c r="K357" s="116">
        <f t="shared" si="63"/>
        <v>0</v>
      </c>
      <c r="L357" s="118"/>
    </row>
    <row r="358" spans="1:12" ht="11.25" customHeight="1">
      <c r="A358" s="174" t="s">
        <v>275</v>
      </c>
      <c r="B358" s="118">
        <f>SUM(B359:B362)</f>
        <v>0</v>
      </c>
      <c r="C358" s="118">
        <f>SUM(C359:C362)</f>
        <v>0</v>
      </c>
      <c r="D358" s="118">
        <f>SUM(D359:D362)</f>
        <v>0</v>
      </c>
      <c r="E358" s="118">
        <f>SUM(E359:E362)</f>
        <v>0</v>
      </c>
      <c r="F358" s="118">
        <f t="shared" si="60"/>
        <v>0</v>
      </c>
      <c r="G358" s="118">
        <f>SUM(G359:G362)</f>
        <v>0</v>
      </c>
      <c r="H358" s="118">
        <f>SUM(H359:H362)</f>
        <v>0</v>
      </c>
      <c r="I358" s="118">
        <f>SUM(I359:I362)</f>
        <v>0</v>
      </c>
      <c r="J358" s="118">
        <f t="shared" si="61"/>
        <v>0</v>
      </c>
      <c r="K358" s="116">
        <f>SUM(K359:K362)</f>
        <v>0</v>
      </c>
      <c r="L358" s="118">
        <f>SUM(L359:L362)</f>
        <v>0</v>
      </c>
    </row>
    <row r="359" spans="1:12" ht="11.25" customHeight="1">
      <c r="A359" s="175" t="s">
        <v>429</v>
      </c>
      <c r="B359" s="118"/>
      <c r="C359" s="118"/>
      <c r="D359" s="118"/>
      <c r="E359" s="118"/>
      <c r="F359" s="118">
        <f t="shared" si="60"/>
        <v>0</v>
      </c>
      <c r="G359" s="118">
        <f>C359-E359</f>
        <v>0</v>
      </c>
      <c r="H359" s="118"/>
      <c r="I359" s="118"/>
      <c r="J359" s="118">
        <f t="shared" si="61"/>
        <v>0</v>
      </c>
      <c r="K359" s="116">
        <f>C359-I359</f>
        <v>0</v>
      </c>
      <c r="L359" s="118"/>
    </row>
    <row r="360" spans="1:12" ht="11.25" customHeight="1">
      <c r="A360" s="175" t="s">
        <v>430</v>
      </c>
      <c r="B360" s="118"/>
      <c r="C360" s="118"/>
      <c r="D360" s="118"/>
      <c r="E360" s="118"/>
      <c r="F360" s="118">
        <f t="shared" si="60"/>
        <v>0</v>
      </c>
      <c r="G360" s="118">
        <f>C360-E360</f>
        <v>0</v>
      </c>
      <c r="H360" s="118"/>
      <c r="I360" s="118"/>
      <c r="J360" s="118">
        <f t="shared" si="61"/>
        <v>0</v>
      </c>
      <c r="K360" s="116">
        <f>C360-I360</f>
        <v>0</v>
      </c>
      <c r="L360" s="118"/>
    </row>
    <row r="361" spans="1:12" ht="11.25" customHeight="1">
      <c r="A361" s="175" t="s">
        <v>369</v>
      </c>
      <c r="B361" s="118"/>
      <c r="C361" s="118"/>
      <c r="D361" s="118"/>
      <c r="E361" s="118"/>
      <c r="F361" s="118">
        <f t="shared" si="60"/>
        <v>0</v>
      </c>
      <c r="G361" s="118">
        <f>C361-E361</f>
        <v>0</v>
      </c>
      <c r="H361" s="118"/>
      <c r="I361" s="118"/>
      <c r="J361" s="118">
        <f t="shared" si="61"/>
        <v>0</v>
      </c>
      <c r="K361" s="116">
        <f>C361-I361</f>
        <v>0</v>
      </c>
      <c r="L361" s="118"/>
    </row>
    <row r="362" spans="1:12" ht="11.25" customHeight="1">
      <c r="A362" s="175" t="s">
        <v>363</v>
      </c>
      <c r="B362" s="118"/>
      <c r="C362" s="118"/>
      <c r="D362" s="118"/>
      <c r="E362" s="118"/>
      <c r="F362" s="118">
        <f t="shared" si="60"/>
        <v>0</v>
      </c>
      <c r="G362" s="118">
        <f>C362-E362</f>
        <v>0</v>
      </c>
      <c r="H362" s="118"/>
      <c r="I362" s="118"/>
      <c r="J362" s="118">
        <f t="shared" si="61"/>
        <v>0</v>
      </c>
      <c r="K362" s="116">
        <f>C362-I362</f>
        <v>0</v>
      </c>
      <c r="L362" s="118"/>
    </row>
    <row r="363" spans="1:12" ht="11.25" customHeight="1">
      <c r="A363" s="174" t="s">
        <v>276</v>
      </c>
      <c r="B363" s="118">
        <f>SUM(B364:B370)</f>
        <v>440000</v>
      </c>
      <c r="C363" s="118">
        <f>SUM(C364:C370)</f>
        <v>440000</v>
      </c>
      <c r="D363" s="118">
        <f>SUM(D364:D370)</f>
        <v>59605.55</v>
      </c>
      <c r="E363" s="118">
        <f>SUM(E364:E370)</f>
        <v>59605.55</v>
      </c>
      <c r="F363" s="118">
        <f t="shared" si="60"/>
        <v>0.012830005237975391</v>
      </c>
      <c r="G363" s="118">
        <f>SUM(G364:G370)</f>
        <v>380394.45</v>
      </c>
      <c r="H363" s="118">
        <f>SUM(H364:H370)</f>
        <v>56697.55</v>
      </c>
      <c r="I363" s="118">
        <f>SUM(I364:I370)</f>
        <v>56697.55</v>
      </c>
      <c r="J363" s="118">
        <f t="shared" si="61"/>
        <v>0.037956394636399125</v>
      </c>
      <c r="K363" s="116">
        <f>SUM(K364:K370)</f>
        <v>383302.45</v>
      </c>
      <c r="L363" s="118">
        <f>SUM(L364:L370)</f>
        <v>0</v>
      </c>
    </row>
    <row r="364" spans="1:12" ht="11.25" customHeight="1">
      <c r="A364" s="175" t="s">
        <v>431</v>
      </c>
      <c r="B364" s="118">
        <v>440000</v>
      </c>
      <c r="C364" s="118">
        <v>440000</v>
      </c>
      <c r="D364" s="118">
        <v>59605.55</v>
      </c>
      <c r="E364" s="118">
        <v>59605.55</v>
      </c>
      <c r="F364" s="118">
        <f t="shared" si="60"/>
        <v>0.012830005237975391</v>
      </c>
      <c r="G364" s="118">
        <f aca="true" t="shared" si="64" ref="G364:G370">C364-E364</f>
        <v>380394.45</v>
      </c>
      <c r="H364" s="118">
        <v>56697.55</v>
      </c>
      <c r="I364" s="118">
        <v>56697.55</v>
      </c>
      <c r="J364" s="118">
        <f t="shared" si="61"/>
        <v>0.037956394636399125</v>
      </c>
      <c r="K364" s="116">
        <f aca="true" t="shared" si="65" ref="K364:K370">C364-I364</f>
        <v>383302.45</v>
      </c>
      <c r="L364" s="118"/>
    </row>
    <row r="365" spans="1:12" ht="11.25" customHeight="1">
      <c r="A365" s="175" t="s">
        <v>432</v>
      </c>
      <c r="B365" s="118"/>
      <c r="C365" s="118"/>
      <c r="D365" s="118"/>
      <c r="E365" s="118"/>
      <c r="F365" s="118">
        <f t="shared" si="60"/>
        <v>0</v>
      </c>
      <c r="G365" s="118">
        <f t="shared" si="64"/>
        <v>0</v>
      </c>
      <c r="H365" s="118"/>
      <c r="I365" s="118"/>
      <c r="J365" s="118">
        <f t="shared" si="61"/>
        <v>0</v>
      </c>
      <c r="K365" s="116">
        <f t="shared" si="65"/>
        <v>0</v>
      </c>
      <c r="L365" s="118"/>
    </row>
    <row r="366" spans="1:12" ht="11.25" customHeight="1">
      <c r="A366" s="175" t="s">
        <v>433</v>
      </c>
      <c r="B366" s="118"/>
      <c r="C366" s="118"/>
      <c r="D366" s="118"/>
      <c r="E366" s="118"/>
      <c r="F366" s="118">
        <f t="shared" si="60"/>
        <v>0</v>
      </c>
      <c r="G366" s="118">
        <f t="shared" si="64"/>
        <v>0</v>
      </c>
      <c r="H366" s="118"/>
      <c r="I366" s="118"/>
      <c r="J366" s="118">
        <f t="shared" si="61"/>
        <v>0</v>
      </c>
      <c r="K366" s="116">
        <f t="shared" si="65"/>
        <v>0</v>
      </c>
      <c r="L366" s="118"/>
    </row>
    <row r="367" spans="1:12" ht="11.25" customHeight="1">
      <c r="A367" s="175" t="s">
        <v>434</v>
      </c>
      <c r="B367" s="118"/>
      <c r="C367" s="118"/>
      <c r="D367" s="118"/>
      <c r="E367" s="118"/>
      <c r="F367" s="118">
        <f t="shared" si="60"/>
        <v>0</v>
      </c>
      <c r="G367" s="118">
        <f t="shared" si="64"/>
        <v>0</v>
      </c>
      <c r="H367" s="118"/>
      <c r="I367" s="118"/>
      <c r="J367" s="118">
        <f t="shared" si="61"/>
        <v>0</v>
      </c>
      <c r="K367" s="116">
        <f t="shared" si="65"/>
        <v>0</v>
      </c>
      <c r="L367" s="118"/>
    </row>
    <row r="368" spans="1:12" ht="11.25" customHeight="1">
      <c r="A368" s="175" t="s">
        <v>435</v>
      </c>
      <c r="B368" s="118"/>
      <c r="C368" s="118"/>
      <c r="D368" s="118"/>
      <c r="E368" s="118"/>
      <c r="F368" s="118">
        <f t="shared" si="60"/>
        <v>0</v>
      </c>
      <c r="G368" s="118">
        <f t="shared" si="64"/>
        <v>0</v>
      </c>
      <c r="H368" s="118"/>
      <c r="I368" s="118"/>
      <c r="J368" s="118">
        <f t="shared" si="61"/>
        <v>0</v>
      </c>
      <c r="K368" s="116">
        <f t="shared" si="65"/>
        <v>0</v>
      </c>
      <c r="L368" s="118"/>
    </row>
    <row r="369" spans="1:12" ht="11.25" customHeight="1">
      <c r="A369" s="175" t="s">
        <v>369</v>
      </c>
      <c r="B369" s="118"/>
      <c r="C369" s="118"/>
      <c r="D369" s="118"/>
      <c r="E369" s="118"/>
      <c r="F369" s="118">
        <f t="shared" si="60"/>
        <v>0</v>
      </c>
      <c r="G369" s="118">
        <f t="shared" si="64"/>
        <v>0</v>
      </c>
      <c r="H369" s="118"/>
      <c r="I369" s="118"/>
      <c r="J369" s="118">
        <f t="shared" si="61"/>
        <v>0</v>
      </c>
      <c r="K369" s="116">
        <f t="shared" si="65"/>
        <v>0</v>
      </c>
      <c r="L369" s="118"/>
    </row>
    <row r="370" spans="1:12" ht="11.25" customHeight="1">
      <c r="A370" s="175" t="s">
        <v>363</v>
      </c>
      <c r="B370" s="118"/>
      <c r="C370" s="118"/>
      <c r="D370" s="118"/>
      <c r="E370" s="118"/>
      <c r="F370" s="118">
        <f t="shared" si="60"/>
        <v>0</v>
      </c>
      <c r="G370" s="118">
        <f t="shared" si="64"/>
        <v>0</v>
      </c>
      <c r="H370" s="118"/>
      <c r="I370" s="118"/>
      <c r="J370" s="118">
        <f t="shared" si="61"/>
        <v>0</v>
      </c>
      <c r="K370" s="116">
        <f t="shared" si="65"/>
        <v>0</v>
      </c>
      <c r="L370" s="118"/>
    </row>
    <row r="371" spans="1:12" ht="11.25" customHeight="1">
      <c r="A371" s="174" t="s">
        <v>277</v>
      </c>
      <c r="B371" s="118">
        <f>SUM(B372:B378)</f>
        <v>0</v>
      </c>
      <c r="C371" s="118">
        <f>SUM(C372:C378)</f>
        <v>0</v>
      </c>
      <c r="D371" s="118">
        <f>SUM(D372:D378)</f>
        <v>0</v>
      </c>
      <c r="E371" s="118">
        <f>SUM(E372:E378)</f>
        <v>0</v>
      </c>
      <c r="F371" s="118">
        <f t="shared" si="60"/>
        <v>0</v>
      </c>
      <c r="G371" s="118">
        <f>SUM(G372:G378)</f>
        <v>0</v>
      </c>
      <c r="H371" s="118">
        <f>SUM(H372:H378)</f>
        <v>0</v>
      </c>
      <c r="I371" s="118">
        <f>SUM(I372:I378)</f>
        <v>0</v>
      </c>
      <c r="J371" s="118">
        <f t="shared" si="61"/>
        <v>0</v>
      </c>
      <c r="K371" s="116">
        <f>SUM(K372:K378)</f>
        <v>0</v>
      </c>
      <c r="L371" s="118">
        <f>SUM(L372:L378)</f>
        <v>0</v>
      </c>
    </row>
    <row r="372" spans="1:12" ht="11.25" customHeight="1">
      <c r="A372" s="175" t="s">
        <v>436</v>
      </c>
      <c r="B372" s="118"/>
      <c r="C372" s="118"/>
      <c r="D372" s="118"/>
      <c r="E372" s="118"/>
      <c r="F372" s="118">
        <f t="shared" si="60"/>
        <v>0</v>
      </c>
      <c r="G372" s="118">
        <f aca="true" t="shared" si="66" ref="G372:G378">C372-E372</f>
        <v>0</v>
      </c>
      <c r="H372" s="118"/>
      <c r="I372" s="118"/>
      <c r="J372" s="118">
        <f t="shared" si="61"/>
        <v>0</v>
      </c>
      <c r="K372" s="116">
        <f aca="true" t="shared" si="67" ref="K372:K378">C372-I372</f>
        <v>0</v>
      </c>
      <c r="L372" s="118"/>
    </row>
    <row r="373" spans="1:12" ht="11.25" customHeight="1">
      <c r="A373" s="175" t="s">
        <v>437</v>
      </c>
      <c r="B373" s="118"/>
      <c r="C373" s="118"/>
      <c r="D373" s="118"/>
      <c r="E373" s="118"/>
      <c r="F373" s="118">
        <f t="shared" si="60"/>
        <v>0</v>
      </c>
      <c r="G373" s="118">
        <f t="shared" si="66"/>
        <v>0</v>
      </c>
      <c r="H373" s="118"/>
      <c r="I373" s="118"/>
      <c r="J373" s="118">
        <f t="shared" si="61"/>
        <v>0</v>
      </c>
      <c r="K373" s="116">
        <f t="shared" si="67"/>
        <v>0</v>
      </c>
      <c r="L373" s="118"/>
    </row>
    <row r="374" spans="1:12" ht="11.25" customHeight="1">
      <c r="A374" s="175" t="s">
        <v>438</v>
      </c>
      <c r="B374" s="118"/>
      <c r="C374" s="118"/>
      <c r="D374" s="118"/>
      <c r="E374" s="118"/>
      <c r="F374" s="118">
        <f t="shared" si="60"/>
        <v>0</v>
      </c>
      <c r="G374" s="118">
        <f t="shared" si="66"/>
        <v>0</v>
      </c>
      <c r="H374" s="118"/>
      <c r="I374" s="118"/>
      <c r="J374" s="118">
        <f t="shared" si="61"/>
        <v>0</v>
      </c>
      <c r="K374" s="116">
        <f t="shared" si="67"/>
        <v>0</v>
      </c>
      <c r="L374" s="118"/>
    </row>
    <row r="375" spans="1:12" ht="11.25" customHeight="1">
      <c r="A375" s="175" t="s">
        <v>439</v>
      </c>
      <c r="B375" s="118"/>
      <c r="C375" s="118"/>
      <c r="D375" s="118"/>
      <c r="E375" s="118"/>
      <c r="F375" s="118">
        <f t="shared" si="60"/>
        <v>0</v>
      </c>
      <c r="G375" s="118">
        <f t="shared" si="66"/>
        <v>0</v>
      </c>
      <c r="H375" s="118"/>
      <c r="I375" s="118"/>
      <c r="J375" s="118">
        <f t="shared" si="61"/>
        <v>0</v>
      </c>
      <c r="K375" s="116">
        <f t="shared" si="67"/>
        <v>0</v>
      </c>
      <c r="L375" s="118"/>
    </row>
    <row r="376" spans="1:12" ht="11.25" customHeight="1">
      <c r="A376" s="175" t="s">
        <v>440</v>
      </c>
      <c r="B376" s="118"/>
      <c r="C376" s="118"/>
      <c r="D376" s="118"/>
      <c r="E376" s="118"/>
      <c r="F376" s="118">
        <f t="shared" si="60"/>
        <v>0</v>
      </c>
      <c r="G376" s="118">
        <f t="shared" si="66"/>
        <v>0</v>
      </c>
      <c r="H376" s="118"/>
      <c r="I376" s="118"/>
      <c r="J376" s="118">
        <f t="shared" si="61"/>
        <v>0</v>
      </c>
      <c r="K376" s="116">
        <f t="shared" si="67"/>
        <v>0</v>
      </c>
      <c r="L376" s="118"/>
    </row>
    <row r="377" spans="1:12" ht="11.25" customHeight="1">
      <c r="A377" s="175" t="s">
        <v>369</v>
      </c>
      <c r="B377" s="118"/>
      <c r="C377" s="118"/>
      <c r="D377" s="118"/>
      <c r="E377" s="118"/>
      <c r="F377" s="118">
        <f t="shared" si="60"/>
        <v>0</v>
      </c>
      <c r="G377" s="118">
        <f t="shared" si="66"/>
        <v>0</v>
      </c>
      <c r="H377" s="118"/>
      <c r="I377" s="118"/>
      <c r="J377" s="118">
        <f t="shared" si="61"/>
        <v>0</v>
      </c>
      <c r="K377" s="116">
        <f t="shared" si="67"/>
        <v>0</v>
      </c>
      <c r="L377" s="118"/>
    </row>
    <row r="378" spans="1:12" ht="11.25" customHeight="1">
      <c r="A378" s="175" t="s">
        <v>363</v>
      </c>
      <c r="B378" s="118"/>
      <c r="C378" s="118"/>
      <c r="D378" s="118"/>
      <c r="E378" s="118"/>
      <c r="F378" s="118">
        <f t="shared" si="60"/>
        <v>0</v>
      </c>
      <c r="G378" s="118">
        <f t="shared" si="66"/>
        <v>0</v>
      </c>
      <c r="H378" s="118"/>
      <c r="I378" s="118"/>
      <c r="J378" s="118">
        <f t="shared" si="61"/>
        <v>0</v>
      </c>
      <c r="K378" s="116">
        <f t="shared" si="67"/>
        <v>0</v>
      </c>
      <c r="L378" s="118"/>
    </row>
    <row r="379" spans="1:12" ht="11.25" customHeight="1">
      <c r="A379" s="174" t="s">
        <v>278</v>
      </c>
      <c r="B379" s="118">
        <f>SUM(B380:B383)</f>
        <v>0</v>
      </c>
      <c r="C379" s="118">
        <f>SUM(C380:C383)</f>
        <v>0</v>
      </c>
      <c r="D379" s="118">
        <f>SUM(D380:D383)</f>
        <v>0</v>
      </c>
      <c r="E379" s="118">
        <f>SUM(E380:E383)</f>
        <v>0</v>
      </c>
      <c r="F379" s="118">
        <f t="shared" si="60"/>
        <v>0</v>
      </c>
      <c r="G379" s="118">
        <f>SUM(G380:G383)</f>
        <v>0</v>
      </c>
      <c r="H379" s="118">
        <f>SUM(H380:H383)</f>
        <v>0</v>
      </c>
      <c r="I379" s="118">
        <f>SUM(I380:I383)</f>
        <v>0</v>
      </c>
      <c r="J379" s="118">
        <f t="shared" si="61"/>
        <v>0</v>
      </c>
      <c r="K379" s="116">
        <f>SUM(K380:K383)</f>
        <v>0</v>
      </c>
      <c r="L379" s="118">
        <f>SUM(L380:L383)</f>
        <v>0</v>
      </c>
    </row>
    <row r="380" spans="1:12" ht="11.25" customHeight="1">
      <c r="A380" s="175" t="s">
        <v>441</v>
      </c>
      <c r="B380" s="118"/>
      <c r="C380" s="118"/>
      <c r="D380" s="118"/>
      <c r="E380" s="118"/>
      <c r="F380" s="118">
        <f t="shared" si="60"/>
        <v>0</v>
      </c>
      <c r="G380" s="118">
        <f>C380-E380</f>
        <v>0</v>
      </c>
      <c r="H380" s="118"/>
      <c r="I380" s="118"/>
      <c r="J380" s="118">
        <f t="shared" si="61"/>
        <v>0</v>
      </c>
      <c r="K380" s="116">
        <f>C380-I380</f>
        <v>0</v>
      </c>
      <c r="L380" s="118"/>
    </row>
    <row r="381" spans="1:12" ht="11.25" customHeight="1">
      <c r="A381" s="175" t="s">
        <v>442</v>
      </c>
      <c r="B381" s="118"/>
      <c r="C381" s="118"/>
      <c r="D381" s="118"/>
      <c r="E381" s="118"/>
      <c r="F381" s="118">
        <f t="shared" si="60"/>
        <v>0</v>
      </c>
      <c r="G381" s="118">
        <f>C381-E381</f>
        <v>0</v>
      </c>
      <c r="H381" s="118"/>
      <c r="I381" s="118"/>
      <c r="J381" s="118">
        <f t="shared" si="61"/>
        <v>0</v>
      </c>
      <c r="K381" s="116">
        <f>C381-I381</f>
        <v>0</v>
      </c>
      <c r="L381" s="118"/>
    </row>
    <row r="382" spans="1:12" ht="11.25" customHeight="1">
      <c r="A382" s="175" t="s">
        <v>369</v>
      </c>
      <c r="B382" s="118"/>
      <c r="C382" s="118"/>
      <c r="D382" s="118"/>
      <c r="E382" s="118"/>
      <c r="F382" s="118">
        <f aca="true" t="shared" si="68" ref="F382:F413">IF($E$214&gt;0,E382/$E$214,0)*100</f>
        <v>0</v>
      </c>
      <c r="G382" s="118">
        <f>C382-E382</f>
        <v>0</v>
      </c>
      <c r="H382" s="118"/>
      <c r="I382" s="118"/>
      <c r="J382" s="118">
        <f aca="true" t="shared" si="69" ref="J382:J413">IF($I$214&gt;0,I382/$I$214,0)*100</f>
        <v>0</v>
      </c>
      <c r="K382" s="116">
        <f>C382-I382</f>
        <v>0</v>
      </c>
      <c r="L382" s="118"/>
    </row>
    <row r="383" spans="1:12" ht="11.25" customHeight="1">
      <c r="A383" s="175" t="s">
        <v>363</v>
      </c>
      <c r="B383" s="118"/>
      <c r="C383" s="118"/>
      <c r="D383" s="118"/>
      <c r="E383" s="118"/>
      <c r="F383" s="118">
        <f t="shared" si="68"/>
        <v>0</v>
      </c>
      <c r="G383" s="118">
        <f>C383-E383</f>
        <v>0</v>
      </c>
      <c r="H383" s="118"/>
      <c r="I383" s="118"/>
      <c r="J383" s="118">
        <f t="shared" si="69"/>
        <v>0</v>
      </c>
      <c r="K383" s="116">
        <f>C383-I383</f>
        <v>0</v>
      </c>
      <c r="L383" s="118"/>
    </row>
    <row r="384" spans="1:12" ht="11.25" customHeight="1">
      <c r="A384" s="174" t="s">
        <v>279</v>
      </c>
      <c r="B384" s="118">
        <f>SUM(B385:B390)</f>
        <v>0</v>
      </c>
      <c r="C384" s="118">
        <f>SUM(C385:C390)</f>
        <v>0</v>
      </c>
      <c r="D384" s="118">
        <f>SUM(D385:D390)</f>
        <v>0</v>
      </c>
      <c r="E384" s="118">
        <f>SUM(E385:E390)</f>
        <v>0</v>
      </c>
      <c r="F384" s="118">
        <f t="shared" si="68"/>
        <v>0</v>
      </c>
      <c r="G384" s="118">
        <f>SUM(G385:G390)</f>
        <v>0</v>
      </c>
      <c r="H384" s="118">
        <f>SUM(H385:H390)</f>
        <v>0</v>
      </c>
      <c r="I384" s="118">
        <f>SUM(I385:I390)</f>
        <v>0</v>
      </c>
      <c r="J384" s="118">
        <f t="shared" si="69"/>
        <v>0</v>
      </c>
      <c r="K384" s="116">
        <f>SUM(K385:K390)</f>
        <v>0</v>
      </c>
      <c r="L384" s="118">
        <f>SUM(L385:L390)</f>
        <v>0</v>
      </c>
    </row>
    <row r="385" spans="1:12" ht="11.25" customHeight="1">
      <c r="A385" s="175" t="s">
        <v>443</v>
      </c>
      <c r="B385" s="118"/>
      <c r="C385" s="118"/>
      <c r="D385" s="118"/>
      <c r="E385" s="118"/>
      <c r="F385" s="118">
        <f t="shared" si="68"/>
        <v>0</v>
      </c>
      <c r="G385" s="118">
        <f aca="true" t="shared" si="70" ref="G385:G390">C385-E385</f>
        <v>0</v>
      </c>
      <c r="H385" s="118"/>
      <c r="I385" s="118"/>
      <c r="J385" s="118">
        <f t="shared" si="69"/>
        <v>0</v>
      </c>
      <c r="K385" s="116">
        <f aca="true" t="shared" si="71" ref="K385:K390">C385-I385</f>
        <v>0</v>
      </c>
      <c r="L385" s="118"/>
    </row>
    <row r="386" spans="1:12" ht="11.25" customHeight="1">
      <c r="A386" s="175" t="s">
        <v>444</v>
      </c>
      <c r="B386" s="118"/>
      <c r="C386" s="118"/>
      <c r="D386" s="118"/>
      <c r="E386" s="118"/>
      <c r="F386" s="118">
        <f t="shared" si="68"/>
        <v>0</v>
      </c>
      <c r="G386" s="118">
        <f t="shared" si="70"/>
        <v>0</v>
      </c>
      <c r="H386" s="118"/>
      <c r="I386" s="118"/>
      <c r="J386" s="118">
        <f t="shared" si="69"/>
        <v>0</v>
      </c>
      <c r="K386" s="116">
        <f t="shared" si="71"/>
        <v>0</v>
      </c>
      <c r="L386" s="118"/>
    </row>
    <row r="387" spans="1:12" ht="11.25" customHeight="1">
      <c r="A387" s="175" t="s">
        <v>445</v>
      </c>
      <c r="B387" s="118"/>
      <c r="C387" s="118"/>
      <c r="D387" s="118"/>
      <c r="E387" s="118"/>
      <c r="F387" s="118">
        <f t="shared" si="68"/>
        <v>0</v>
      </c>
      <c r="G387" s="118">
        <f t="shared" si="70"/>
        <v>0</v>
      </c>
      <c r="H387" s="118"/>
      <c r="I387" s="118"/>
      <c r="J387" s="118">
        <f t="shared" si="69"/>
        <v>0</v>
      </c>
      <c r="K387" s="116">
        <f t="shared" si="71"/>
        <v>0</v>
      </c>
      <c r="L387" s="118"/>
    </row>
    <row r="388" spans="1:12" ht="11.25" customHeight="1">
      <c r="A388" s="175" t="s">
        <v>446</v>
      </c>
      <c r="B388" s="118"/>
      <c r="C388" s="118"/>
      <c r="D388" s="118"/>
      <c r="E388" s="118"/>
      <c r="F388" s="118">
        <f t="shared" si="68"/>
        <v>0</v>
      </c>
      <c r="G388" s="118">
        <f t="shared" si="70"/>
        <v>0</v>
      </c>
      <c r="H388" s="118"/>
      <c r="I388" s="118"/>
      <c r="J388" s="118">
        <f t="shared" si="69"/>
        <v>0</v>
      </c>
      <c r="K388" s="116">
        <f t="shared" si="71"/>
        <v>0</v>
      </c>
      <c r="L388" s="118"/>
    </row>
    <row r="389" spans="1:12" ht="11.25" customHeight="1">
      <c r="A389" s="175" t="s">
        <v>369</v>
      </c>
      <c r="B389" s="118"/>
      <c r="C389" s="118"/>
      <c r="D389" s="118"/>
      <c r="E389" s="118"/>
      <c r="F389" s="118">
        <f t="shared" si="68"/>
        <v>0</v>
      </c>
      <c r="G389" s="118">
        <f t="shared" si="70"/>
        <v>0</v>
      </c>
      <c r="H389" s="118"/>
      <c r="I389" s="118"/>
      <c r="J389" s="118">
        <f t="shared" si="69"/>
        <v>0</v>
      </c>
      <c r="K389" s="116">
        <f t="shared" si="71"/>
        <v>0</v>
      </c>
      <c r="L389" s="118"/>
    </row>
    <row r="390" spans="1:12" ht="11.25" customHeight="1">
      <c r="A390" s="175" t="s">
        <v>363</v>
      </c>
      <c r="B390" s="118"/>
      <c r="C390" s="118"/>
      <c r="D390" s="118"/>
      <c r="E390" s="118"/>
      <c r="F390" s="118">
        <f t="shared" si="68"/>
        <v>0</v>
      </c>
      <c r="G390" s="118">
        <f t="shared" si="70"/>
        <v>0</v>
      </c>
      <c r="H390" s="118"/>
      <c r="I390" s="118"/>
      <c r="J390" s="118">
        <f t="shared" si="69"/>
        <v>0</v>
      </c>
      <c r="K390" s="116">
        <f t="shared" si="71"/>
        <v>0</v>
      </c>
      <c r="L390" s="118"/>
    </row>
    <row r="391" spans="1:12" ht="11.25" customHeight="1">
      <c r="A391" s="174" t="s">
        <v>280</v>
      </c>
      <c r="B391" s="118">
        <f>SUM(B392:B398)</f>
        <v>0</v>
      </c>
      <c r="C391" s="118">
        <f>SUM(C392:C398)</f>
        <v>0</v>
      </c>
      <c r="D391" s="118">
        <f>SUM(D392:D398)</f>
        <v>0</v>
      </c>
      <c r="E391" s="118">
        <f>SUM(E392:E398)</f>
        <v>0</v>
      </c>
      <c r="F391" s="118">
        <f t="shared" si="68"/>
        <v>0</v>
      </c>
      <c r="G391" s="118">
        <f>SUM(G392:G398)</f>
        <v>0</v>
      </c>
      <c r="H391" s="118">
        <f>SUM(H392:H398)</f>
        <v>0</v>
      </c>
      <c r="I391" s="118">
        <f>SUM(I392:I398)</f>
        <v>0</v>
      </c>
      <c r="J391" s="118">
        <f t="shared" si="69"/>
        <v>0</v>
      </c>
      <c r="K391" s="116">
        <f>SUM(K392:K398)</f>
        <v>0</v>
      </c>
      <c r="L391" s="118">
        <f>SUM(L392:L398)</f>
        <v>0</v>
      </c>
    </row>
    <row r="392" spans="1:12" ht="11.25" customHeight="1">
      <c r="A392" s="175" t="s">
        <v>447</v>
      </c>
      <c r="B392" s="118"/>
      <c r="C392" s="118"/>
      <c r="D392" s="118"/>
      <c r="E392" s="118"/>
      <c r="F392" s="118">
        <f t="shared" si="68"/>
        <v>0</v>
      </c>
      <c r="G392" s="118">
        <f aca="true" t="shared" si="72" ref="G392:G398">C392-E392</f>
        <v>0</v>
      </c>
      <c r="H392" s="118"/>
      <c r="I392" s="118"/>
      <c r="J392" s="118">
        <f t="shared" si="69"/>
        <v>0</v>
      </c>
      <c r="K392" s="116">
        <f aca="true" t="shared" si="73" ref="K392:K398">C392-I392</f>
        <v>0</v>
      </c>
      <c r="L392" s="118"/>
    </row>
    <row r="393" spans="1:12" ht="11.25" customHeight="1">
      <c r="A393" s="175" t="s">
        <v>448</v>
      </c>
      <c r="B393" s="118"/>
      <c r="C393" s="118"/>
      <c r="D393" s="118"/>
      <c r="E393" s="118"/>
      <c r="F393" s="118">
        <f t="shared" si="68"/>
        <v>0</v>
      </c>
      <c r="G393" s="118">
        <f t="shared" si="72"/>
        <v>0</v>
      </c>
      <c r="H393" s="118"/>
      <c r="I393" s="118"/>
      <c r="J393" s="118">
        <f t="shared" si="69"/>
        <v>0</v>
      </c>
      <c r="K393" s="116">
        <f t="shared" si="73"/>
        <v>0</v>
      </c>
      <c r="L393" s="118"/>
    </row>
    <row r="394" spans="1:12" ht="11.25" customHeight="1">
      <c r="A394" s="175" t="s">
        <v>449</v>
      </c>
      <c r="B394" s="118"/>
      <c r="C394" s="118"/>
      <c r="D394" s="118"/>
      <c r="E394" s="118"/>
      <c r="F394" s="118">
        <f t="shared" si="68"/>
        <v>0</v>
      </c>
      <c r="G394" s="118">
        <f t="shared" si="72"/>
        <v>0</v>
      </c>
      <c r="H394" s="118"/>
      <c r="I394" s="118"/>
      <c r="J394" s="118">
        <f t="shared" si="69"/>
        <v>0</v>
      </c>
      <c r="K394" s="116">
        <f t="shared" si="73"/>
        <v>0</v>
      </c>
      <c r="L394" s="118"/>
    </row>
    <row r="395" spans="1:12" ht="11.25" customHeight="1">
      <c r="A395" s="175" t="s">
        <v>450</v>
      </c>
      <c r="B395" s="118"/>
      <c r="C395" s="118"/>
      <c r="D395" s="118"/>
      <c r="E395" s="118"/>
      <c r="F395" s="118">
        <f t="shared" si="68"/>
        <v>0</v>
      </c>
      <c r="G395" s="118">
        <f t="shared" si="72"/>
        <v>0</v>
      </c>
      <c r="H395" s="118"/>
      <c r="I395" s="118"/>
      <c r="J395" s="118">
        <f t="shared" si="69"/>
        <v>0</v>
      </c>
      <c r="K395" s="116">
        <f t="shared" si="73"/>
        <v>0</v>
      </c>
      <c r="L395" s="118"/>
    </row>
    <row r="396" spans="1:12" ht="11.25" customHeight="1">
      <c r="A396" s="175" t="s">
        <v>451</v>
      </c>
      <c r="B396" s="118"/>
      <c r="C396" s="118"/>
      <c r="D396" s="118"/>
      <c r="E396" s="118"/>
      <c r="F396" s="118">
        <f t="shared" si="68"/>
        <v>0</v>
      </c>
      <c r="G396" s="118">
        <f t="shared" si="72"/>
        <v>0</v>
      </c>
      <c r="H396" s="118"/>
      <c r="I396" s="118"/>
      <c r="J396" s="118">
        <f t="shared" si="69"/>
        <v>0</v>
      </c>
      <c r="K396" s="116">
        <f t="shared" si="73"/>
        <v>0</v>
      </c>
      <c r="L396" s="118"/>
    </row>
    <row r="397" spans="1:12" ht="11.25" customHeight="1">
      <c r="A397" s="175" t="s">
        <v>369</v>
      </c>
      <c r="B397" s="118"/>
      <c r="C397" s="118"/>
      <c r="D397" s="118"/>
      <c r="E397" s="118"/>
      <c r="F397" s="118">
        <f t="shared" si="68"/>
        <v>0</v>
      </c>
      <c r="G397" s="118">
        <f t="shared" si="72"/>
        <v>0</v>
      </c>
      <c r="H397" s="118"/>
      <c r="I397" s="118"/>
      <c r="J397" s="118">
        <f t="shared" si="69"/>
        <v>0</v>
      </c>
      <c r="K397" s="116">
        <f t="shared" si="73"/>
        <v>0</v>
      </c>
      <c r="L397" s="118"/>
    </row>
    <row r="398" spans="1:12" ht="11.25" customHeight="1">
      <c r="A398" s="175" t="s">
        <v>363</v>
      </c>
      <c r="B398" s="118"/>
      <c r="C398" s="118"/>
      <c r="D398" s="118"/>
      <c r="E398" s="118"/>
      <c r="F398" s="118">
        <f t="shared" si="68"/>
        <v>0</v>
      </c>
      <c r="G398" s="118">
        <f t="shared" si="72"/>
        <v>0</v>
      </c>
      <c r="H398" s="118"/>
      <c r="I398" s="118"/>
      <c r="J398" s="118">
        <f t="shared" si="69"/>
        <v>0</v>
      </c>
      <c r="K398" s="116">
        <f t="shared" si="73"/>
        <v>0</v>
      </c>
      <c r="L398" s="118"/>
    </row>
    <row r="399" spans="1:12" ht="11.25" customHeight="1">
      <c r="A399" s="174" t="s">
        <v>281</v>
      </c>
      <c r="B399" s="118">
        <f>SUM(B400:B404)</f>
        <v>1915000</v>
      </c>
      <c r="C399" s="118">
        <f>SUM(C400:C404)</f>
        <v>1915000</v>
      </c>
      <c r="D399" s="118">
        <f>SUM(D400:D404)</f>
        <v>312757.44</v>
      </c>
      <c r="E399" s="118">
        <f>SUM(E400:E404)</f>
        <v>312757.44</v>
      </c>
      <c r="F399" s="118">
        <f t="shared" si="68"/>
        <v>0.0673205698700167</v>
      </c>
      <c r="G399" s="118">
        <f>SUM(G400:G404)</f>
        <v>1602242.56</v>
      </c>
      <c r="H399" s="118">
        <f>SUM(H400:H404)</f>
        <v>284757.44</v>
      </c>
      <c r="I399" s="118">
        <f>SUM(I400:I404)</f>
        <v>284757.44</v>
      </c>
      <c r="J399" s="118">
        <f t="shared" si="69"/>
        <v>0.19063197207446786</v>
      </c>
      <c r="K399" s="116">
        <f>SUM(K400:K404)</f>
        <v>1630242.56</v>
      </c>
      <c r="L399" s="118">
        <f>SUM(L400:L404)</f>
        <v>0</v>
      </c>
    </row>
    <row r="400" spans="1:12" ht="11.25" customHeight="1">
      <c r="A400" s="175" t="s">
        <v>452</v>
      </c>
      <c r="B400" s="118"/>
      <c r="C400" s="118"/>
      <c r="D400" s="118"/>
      <c r="E400" s="118"/>
      <c r="F400" s="118">
        <f t="shared" si="68"/>
        <v>0</v>
      </c>
      <c r="G400" s="118">
        <f>C400-E400</f>
        <v>0</v>
      </c>
      <c r="H400" s="118"/>
      <c r="I400" s="118"/>
      <c r="J400" s="118">
        <f t="shared" si="69"/>
        <v>0</v>
      </c>
      <c r="K400" s="116">
        <f>C400-I400</f>
        <v>0</v>
      </c>
      <c r="L400" s="118"/>
    </row>
    <row r="401" spans="1:12" ht="11.25" customHeight="1">
      <c r="A401" s="175" t="s">
        <v>453</v>
      </c>
      <c r="B401" s="118">
        <v>1915000</v>
      </c>
      <c r="C401" s="118">
        <v>1915000</v>
      </c>
      <c r="D401" s="118">
        <v>312757.44</v>
      </c>
      <c r="E401" s="118">
        <v>312757.44</v>
      </c>
      <c r="F401" s="118">
        <f t="shared" si="68"/>
        <v>0.0673205698700167</v>
      </c>
      <c r="G401" s="118">
        <f>C401-E401</f>
        <v>1602242.56</v>
      </c>
      <c r="H401" s="118">
        <v>284757.44</v>
      </c>
      <c r="I401" s="118">
        <v>284757.44</v>
      </c>
      <c r="J401" s="118">
        <f t="shared" si="69"/>
        <v>0.19063197207446786</v>
      </c>
      <c r="K401" s="116">
        <f>C401-I401</f>
        <v>1630242.56</v>
      </c>
      <c r="L401" s="118"/>
    </row>
    <row r="402" spans="1:12" ht="11.25" customHeight="1">
      <c r="A402" s="175" t="s">
        <v>454</v>
      </c>
      <c r="B402" s="118"/>
      <c r="C402" s="118"/>
      <c r="D402" s="118"/>
      <c r="E402" s="118"/>
      <c r="F402" s="118">
        <f t="shared" si="68"/>
        <v>0</v>
      </c>
      <c r="G402" s="118">
        <f>C402-E402</f>
        <v>0</v>
      </c>
      <c r="H402" s="118"/>
      <c r="I402" s="118"/>
      <c r="J402" s="118">
        <f t="shared" si="69"/>
        <v>0</v>
      </c>
      <c r="K402" s="116">
        <f>C402-I402</f>
        <v>0</v>
      </c>
      <c r="L402" s="118"/>
    </row>
    <row r="403" spans="1:12" ht="11.25" customHeight="1">
      <c r="A403" s="175" t="s">
        <v>369</v>
      </c>
      <c r="B403" s="118"/>
      <c r="C403" s="118"/>
      <c r="D403" s="118"/>
      <c r="E403" s="118"/>
      <c r="F403" s="118">
        <f t="shared" si="68"/>
        <v>0</v>
      </c>
      <c r="G403" s="118">
        <f>C403-E403</f>
        <v>0</v>
      </c>
      <c r="H403" s="118"/>
      <c r="I403" s="118"/>
      <c r="J403" s="118">
        <f t="shared" si="69"/>
        <v>0</v>
      </c>
      <c r="K403" s="116">
        <f>C403-I403</f>
        <v>0</v>
      </c>
      <c r="L403" s="118"/>
    </row>
    <row r="404" spans="1:12" ht="11.25" customHeight="1">
      <c r="A404" s="175" t="s">
        <v>363</v>
      </c>
      <c r="B404" s="118"/>
      <c r="C404" s="118"/>
      <c r="D404" s="118"/>
      <c r="E404" s="118"/>
      <c r="F404" s="118">
        <f t="shared" si="68"/>
        <v>0</v>
      </c>
      <c r="G404" s="118">
        <f>C404-E404</f>
        <v>0</v>
      </c>
      <c r="H404" s="118"/>
      <c r="I404" s="118"/>
      <c r="J404" s="118">
        <f t="shared" si="69"/>
        <v>0</v>
      </c>
      <c r="K404" s="116">
        <f>C404-I404</f>
        <v>0</v>
      </c>
      <c r="L404" s="118"/>
    </row>
    <row r="405" spans="1:12" ht="11.25" customHeight="1">
      <c r="A405" s="174" t="s">
        <v>282</v>
      </c>
      <c r="B405" s="118">
        <f>SUM(B406:B414)</f>
        <v>428000</v>
      </c>
      <c r="C405" s="118">
        <f>SUM(C406:C414)</f>
        <v>428000</v>
      </c>
      <c r="D405" s="118">
        <f>SUM(D406:D414)</f>
        <v>52747.72</v>
      </c>
      <c r="E405" s="118">
        <f>SUM(E406:E414)</f>
        <v>52747.72</v>
      </c>
      <c r="F405" s="118">
        <f t="shared" si="68"/>
        <v>0.011353867616207873</v>
      </c>
      <c r="G405" s="118">
        <f>SUM(G406:G414)</f>
        <v>375252.28</v>
      </c>
      <c r="H405" s="118">
        <f>SUM(H406:H414)</f>
        <v>52747.72</v>
      </c>
      <c r="I405" s="118">
        <f>SUM(I406:I414)</f>
        <v>52747.72</v>
      </c>
      <c r="J405" s="118">
        <f t="shared" si="69"/>
        <v>0.03531216563132416</v>
      </c>
      <c r="K405" s="116">
        <f>SUM(K406:K414)</f>
        <v>375252.28</v>
      </c>
      <c r="L405" s="118">
        <f>SUM(L406:L414)</f>
        <v>0</v>
      </c>
    </row>
    <row r="406" spans="1:12" ht="11.25" customHeight="1">
      <c r="A406" s="175" t="s">
        <v>455</v>
      </c>
      <c r="B406" s="118"/>
      <c r="C406" s="118"/>
      <c r="D406" s="118"/>
      <c r="E406" s="118"/>
      <c r="F406" s="118">
        <f t="shared" si="68"/>
        <v>0</v>
      </c>
      <c r="G406" s="118">
        <f aca="true" t="shared" si="74" ref="G406:G413">C406-E406</f>
        <v>0</v>
      </c>
      <c r="H406" s="118"/>
      <c r="I406" s="118"/>
      <c r="J406" s="118">
        <f t="shared" si="69"/>
        <v>0</v>
      </c>
      <c r="K406" s="116">
        <f aca="true" t="shared" si="75" ref="K406:K413">C406-I406</f>
        <v>0</v>
      </c>
      <c r="L406" s="118"/>
    </row>
    <row r="407" spans="1:12" ht="11.25" customHeight="1">
      <c r="A407" s="175" t="s">
        <v>456</v>
      </c>
      <c r="B407" s="118"/>
      <c r="C407" s="118"/>
      <c r="D407" s="118"/>
      <c r="E407" s="118"/>
      <c r="F407" s="118">
        <f t="shared" si="68"/>
        <v>0</v>
      </c>
      <c r="G407" s="118">
        <f t="shared" si="74"/>
        <v>0</v>
      </c>
      <c r="H407" s="118"/>
      <c r="I407" s="118"/>
      <c r="J407" s="118">
        <f t="shared" si="69"/>
        <v>0</v>
      </c>
      <c r="K407" s="116">
        <f t="shared" si="75"/>
        <v>0</v>
      </c>
      <c r="L407" s="118"/>
    </row>
    <row r="408" spans="1:12" ht="11.25" customHeight="1">
      <c r="A408" s="175" t="s">
        <v>457</v>
      </c>
      <c r="B408" s="118"/>
      <c r="C408" s="118"/>
      <c r="D408" s="118"/>
      <c r="E408" s="118"/>
      <c r="F408" s="118">
        <f t="shared" si="68"/>
        <v>0</v>
      </c>
      <c r="G408" s="118">
        <f t="shared" si="74"/>
        <v>0</v>
      </c>
      <c r="H408" s="118"/>
      <c r="I408" s="118"/>
      <c r="J408" s="118">
        <f t="shared" si="69"/>
        <v>0</v>
      </c>
      <c r="K408" s="116">
        <f t="shared" si="75"/>
        <v>0</v>
      </c>
      <c r="L408" s="118"/>
    </row>
    <row r="409" spans="1:12" ht="11.25" customHeight="1">
      <c r="A409" s="175" t="s">
        <v>458</v>
      </c>
      <c r="B409" s="118"/>
      <c r="C409" s="118"/>
      <c r="D409" s="118"/>
      <c r="E409" s="118"/>
      <c r="F409" s="118">
        <f t="shared" si="68"/>
        <v>0</v>
      </c>
      <c r="G409" s="118">
        <f t="shared" si="74"/>
        <v>0</v>
      </c>
      <c r="H409" s="118"/>
      <c r="I409" s="118"/>
      <c r="J409" s="118">
        <f t="shared" si="69"/>
        <v>0</v>
      </c>
      <c r="K409" s="116">
        <f t="shared" si="75"/>
        <v>0</v>
      </c>
      <c r="L409" s="118"/>
    </row>
    <row r="410" spans="1:12" ht="11.25" customHeight="1">
      <c r="A410" s="175" t="s">
        <v>459</v>
      </c>
      <c r="B410" s="118"/>
      <c r="C410" s="118"/>
      <c r="D410" s="118"/>
      <c r="E410" s="118"/>
      <c r="F410" s="118">
        <f t="shared" si="68"/>
        <v>0</v>
      </c>
      <c r="G410" s="118">
        <f t="shared" si="74"/>
        <v>0</v>
      </c>
      <c r="H410" s="118"/>
      <c r="I410" s="118"/>
      <c r="J410" s="118">
        <f t="shared" si="69"/>
        <v>0</v>
      </c>
      <c r="K410" s="116">
        <f t="shared" si="75"/>
        <v>0</v>
      </c>
      <c r="L410" s="118"/>
    </row>
    <row r="411" spans="1:12" ht="11.25" customHeight="1">
      <c r="A411" s="175" t="s">
        <v>460</v>
      </c>
      <c r="B411" s="118">
        <v>428000</v>
      </c>
      <c r="C411" s="118">
        <v>428000</v>
      </c>
      <c r="D411" s="118">
        <v>52747.72</v>
      </c>
      <c r="E411" s="118">
        <v>52747.72</v>
      </c>
      <c r="F411" s="118">
        <f t="shared" si="68"/>
        <v>0.011353867616207873</v>
      </c>
      <c r="G411" s="118">
        <f t="shared" si="74"/>
        <v>375252.28</v>
      </c>
      <c r="H411" s="118">
        <v>52747.72</v>
      </c>
      <c r="I411" s="118">
        <v>52747.72</v>
      </c>
      <c r="J411" s="118">
        <f t="shared" si="69"/>
        <v>0.03531216563132416</v>
      </c>
      <c r="K411" s="116">
        <f t="shared" si="75"/>
        <v>375252.28</v>
      </c>
      <c r="L411" s="118"/>
    </row>
    <row r="412" spans="1:12" ht="11.25" customHeight="1">
      <c r="A412" s="175" t="s">
        <v>620</v>
      </c>
      <c r="B412" s="118"/>
      <c r="C412" s="118"/>
      <c r="D412" s="118"/>
      <c r="E412" s="118"/>
      <c r="F412" s="118">
        <f t="shared" si="68"/>
        <v>0</v>
      </c>
      <c r="G412" s="118">
        <f t="shared" si="74"/>
        <v>0</v>
      </c>
      <c r="H412" s="118"/>
      <c r="I412" s="118"/>
      <c r="J412" s="118">
        <f t="shared" si="69"/>
        <v>0</v>
      </c>
      <c r="K412" s="116">
        <f t="shared" si="75"/>
        <v>0</v>
      </c>
      <c r="L412" s="118"/>
    </row>
    <row r="413" spans="1:12" ht="11.25" customHeight="1">
      <c r="A413" s="175" t="s">
        <v>363</v>
      </c>
      <c r="B413" s="21"/>
      <c r="C413" s="21"/>
      <c r="D413" s="21"/>
      <c r="E413" s="21"/>
      <c r="F413" s="21">
        <f t="shared" si="68"/>
        <v>0</v>
      </c>
      <c r="G413" s="21">
        <f t="shared" si="74"/>
        <v>0</v>
      </c>
      <c r="H413" s="21"/>
      <c r="I413" s="21"/>
      <c r="J413" s="21">
        <f t="shared" si="69"/>
        <v>0</v>
      </c>
      <c r="K413" s="17">
        <f t="shared" si="75"/>
        <v>0</v>
      </c>
      <c r="L413" s="21"/>
    </row>
    <row r="414" spans="1:12" ht="11.25" customHeight="1">
      <c r="A414" s="174" t="s">
        <v>65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17"/>
      <c r="L414" s="21"/>
    </row>
    <row r="415" spans="1:12" ht="11.25" customHeight="1">
      <c r="A415" s="736" t="s">
        <v>1062</v>
      </c>
      <c r="B415" s="743"/>
      <c r="C415" s="743"/>
      <c r="D415" s="743"/>
      <c r="E415" s="743"/>
      <c r="F415" s="743"/>
      <c r="G415" s="743"/>
      <c r="H415" s="743"/>
      <c r="I415" s="743"/>
      <c r="J415" s="743"/>
      <c r="K415" s="743"/>
      <c r="L415" s="743"/>
    </row>
    <row r="416" spans="1:12" ht="11.25" customHeight="1">
      <c r="A416" s="744" t="s">
        <v>468</v>
      </c>
      <c r="B416" s="744"/>
      <c r="C416" s="744"/>
      <c r="D416" s="156"/>
      <c r="E416" s="156"/>
      <c r="F416" s="156"/>
      <c r="G416" s="156"/>
      <c r="H416" s="156"/>
      <c r="I416" s="156"/>
      <c r="J416" s="156"/>
      <c r="K416" s="156"/>
      <c r="L416" s="156"/>
    </row>
    <row r="419" spans="1:12" ht="11.25" customHeight="1">
      <c r="A419" s="518" t="s">
        <v>1055</v>
      </c>
      <c r="B419" s="519"/>
      <c r="C419" s="519"/>
      <c r="D419" s="518" t="s">
        <v>1057</v>
      </c>
      <c r="E419" s="519"/>
      <c r="F419" s="520"/>
      <c r="G419" s="545"/>
      <c r="H419" s="522"/>
      <c r="I419" s="519" t="s">
        <v>1059</v>
      </c>
      <c r="J419" s="519"/>
      <c r="K419" s="519"/>
      <c r="L419" s="522"/>
    </row>
    <row r="420" spans="1:12" ht="11.25" customHeight="1">
      <c r="A420" s="518" t="s">
        <v>1056</v>
      </c>
      <c r="B420" s="520"/>
      <c r="C420" s="520"/>
      <c r="D420" s="519" t="s">
        <v>1058</v>
      </c>
      <c r="E420" s="519"/>
      <c r="F420" s="520"/>
      <c r="G420" s="545"/>
      <c r="H420" s="522"/>
      <c r="I420" s="519" t="s">
        <v>1060</v>
      </c>
      <c r="J420" s="519"/>
      <c r="K420" s="519"/>
      <c r="L420" s="522"/>
    </row>
    <row r="421" spans="1:12" ht="11.25" customHeight="1">
      <c r="A421" s="522"/>
      <c r="B421" s="522"/>
      <c r="C421" s="522"/>
      <c r="D421" s="522" t="s">
        <v>1073</v>
      </c>
      <c r="E421" s="522"/>
      <c r="F421" s="522"/>
      <c r="G421" s="521"/>
      <c r="H421" s="522"/>
      <c r="I421" s="519" t="s">
        <v>1074</v>
      </c>
      <c r="J421" s="519"/>
      <c r="K421" s="519"/>
      <c r="L421" s="522"/>
    </row>
  </sheetData>
  <sheetProtection/>
  <mergeCells count="13">
    <mergeCell ref="A216:C216"/>
    <mergeCell ref="L17:L19"/>
    <mergeCell ref="L219:L221"/>
    <mergeCell ref="A415:L415"/>
    <mergeCell ref="A416:C416"/>
    <mergeCell ref="A11:L11"/>
    <mergeCell ref="A215:L215"/>
    <mergeCell ref="A14:L14"/>
    <mergeCell ref="H219:J219"/>
    <mergeCell ref="H17:J17"/>
    <mergeCell ref="D17:F17"/>
    <mergeCell ref="D219:F219"/>
    <mergeCell ref="A217:J217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6"/>
  <sheetViews>
    <sheetView showGridLines="0" zoomScaleSheetLayoutView="130" zoomScalePageLayoutView="0" workbookViewId="0" topLeftCell="A1">
      <selection activeCell="A1" sqref="A1"/>
    </sheetView>
  </sheetViews>
  <sheetFormatPr defaultColWidth="4.140625" defaultRowHeight="11.25" customHeight="1"/>
  <cols>
    <col min="1" max="1" width="52.7109375" style="103" customWidth="1"/>
    <col min="2" max="7" width="13.00390625" style="103" customWidth="1"/>
    <col min="8" max="8" width="13.00390625" style="110" customWidth="1"/>
    <col min="9" max="13" width="13.00390625" style="103" customWidth="1"/>
    <col min="14" max="15" width="14.28125" style="103" bestFit="1" customWidth="1"/>
    <col min="16" max="16384" width="4.140625" style="103" customWidth="1"/>
  </cols>
  <sheetData>
    <row r="1" ht="12.75"/>
    <row r="2" ht="25.5" customHeight="1">
      <c r="A2" s="497" t="s">
        <v>1050</v>
      </c>
    </row>
    <row r="3" ht="15.75" customHeight="1">
      <c r="A3" s="289" t="s">
        <v>1051</v>
      </c>
    </row>
    <row r="4" ht="15.75" customHeight="1">
      <c r="A4" s="289" t="s">
        <v>1052</v>
      </c>
    </row>
    <row r="5" ht="15.75" customHeight="1">
      <c r="A5" s="289" t="s">
        <v>1053</v>
      </c>
    </row>
    <row r="6" ht="15.75">
      <c r="A6" s="104" t="s">
        <v>82</v>
      </c>
    </row>
    <row r="7" ht="12.75">
      <c r="A7" s="105"/>
    </row>
    <row r="8" spans="1:15" ht="12.75">
      <c r="A8" s="484" t="s">
        <v>1050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.75">
      <c r="A9" s="106" t="s">
        <v>68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2.75">
      <c r="A10" s="107" t="s">
        <v>116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12.75">
      <c r="A11" s="745" t="s">
        <v>70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</row>
    <row r="12" spans="1:10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" ht="12.75">
      <c r="A13" s="333" t="s">
        <v>1054</v>
      </c>
      <c r="B13" s="172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H13" s="103"/>
    </row>
    <row r="14" spans="1:15" ht="12.75" hidden="1">
      <c r="A14" s="745"/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</row>
    <row r="15" spans="1:15" ht="12.75" hidden="1">
      <c r="A15" s="745"/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</row>
    <row r="16" spans="1:15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1.25" customHeight="1" hidden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1.25" customHeight="1">
      <c r="A18" s="103" t="s">
        <v>333</v>
      </c>
      <c r="H18" s="111"/>
      <c r="O18" s="111" t="s">
        <v>360</v>
      </c>
    </row>
    <row r="19" spans="1:15" ht="11.25" customHeight="1">
      <c r="A19" s="554"/>
      <c r="B19" s="746" t="s">
        <v>117</v>
      </c>
      <c r="C19" s="747"/>
      <c r="D19" s="747"/>
      <c r="E19" s="747"/>
      <c r="F19" s="747"/>
      <c r="G19" s="747"/>
      <c r="H19" s="747"/>
      <c r="I19" s="747"/>
      <c r="J19" s="747"/>
      <c r="K19" s="747"/>
      <c r="L19" s="747"/>
      <c r="M19" s="748"/>
      <c r="N19" s="525" t="s">
        <v>115</v>
      </c>
      <c r="O19" s="524" t="s">
        <v>71</v>
      </c>
    </row>
    <row r="20" spans="1:15" ht="11.25" customHeight="1">
      <c r="A20" s="528" t="s">
        <v>118</v>
      </c>
      <c r="B20" s="757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9"/>
      <c r="N20" s="529" t="s">
        <v>119</v>
      </c>
      <c r="O20" s="528" t="s">
        <v>75</v>
      </c>
    </row>
    <row r="21" spans="1:15" ht="11.25" customHeight="1">
      <c r="A21" s="551"/>
      <c r="B21" s="534" t="s">
        <v>173</v>
      </c>
      <c r="C21" s="534" t="s">
        <v>174</v>
      </c>
      <c r="D21" s="534" t="s">
        <v>175</v>
      </c>
      <c r="E21" s="534" t="s">
        <v>176</v>
      </c>
      <c r="F21" s="534" t="s">
        <v>177</v>
      </c>
      <c r="G21" s="534" t="s">
        <v>178</v>
      </c>
      <c r="H21" s="534" t="s">
        <v>179</v>
      </c>
      <c r="I21" s="534" t="s">
        <v>180</v>
      </c>
      <c r="J21" s="534" t="s">
        <v>181</v>
      </c>
      <c r="K21" s="534" t="s">
        <v>182</v>
      </c>
      <c r="L21" s="534" t="s">
        <v>183</v>
      </c>
      <c r="M21" s="534" t="s">
        <v>184</v>
      </c>
      <c r="N21" s="542" t="s">
        <v>120</v>
      </c>
      <c r="O21" s="534" t="s">
        <v>121</v>
      </c>
    </row>
    <row r="22" spans="1:15" s="105" customFormat="1" ht="12.75">
      <c r="A22" s="178" t="s">
        <v>122</v>
      </c>
      <c r="B22" s="117">
        <f aca="true" t="shared" si="0" ref="B22:M22">B23+B29+B30+B33+B34+B35+B36+B45</f>
        <v>138657502.97000003</v>
      </c>
      <c r="C22" s="117">
        <f t="shared" si="0"/>
        <v>80437757.12</v>
      </c>
      <c r="D22" s="117">
        <f t="shared" si="0"/>
        <v>81183549.75</v>
      </c>
      <c r="E22" s="117">
        <f t="shared" si="0"/>
        <v>96154678.85999998</v>
      </c>
      <c r="F22" s="117">
        <f t="shared" si="0"/>
        <v>102653121.25</v>
      </c>
      <c r="G22" s="117">
        <f t="shared" si="0"/>
        <v>101218314.51</v>
      </c>
      <c r="H22" s="119">
        <f t="shared" si="0"/>
        <v>107043315.39999999</v>
      </c>
      <c r="I22" s="117">
        <f t="shared" si="0"/>
        <v>99033314.61</v>
      </c>
      <c r="J22" s="117">
        <f t="shared" si="0"/>
        <v>101922944.5</v>
      </c>
      <c r="K22" s="117">
        <f t="shared" si="0"/>
        <v>139994756.4</v>
      </c>
      <c r="L22" s="117">
        <f t="shared" si="0"/>
        <v>124370512.52999999</v>
      </c>
      <c r="M22" s="116">
        <f t="shared" si="0"/>
        <v>101999494.39999999</v>
      </c>
      <c r="N22" s="117">
        <f aca="true" t="shared" si="1" ref="N22:N50">SUM(B22:M22)</f>
        <v>1274669262.3000002</v>
      </c>
      <c r="O22" s="119">
        <f>O23+O29+O30+O33+O34+O35+O36+O45</f>
        <v>1170911500.31</v>
      </c>
    </row>
    <row r="23" spans="1:15" ht="12.75">
      <c r="A23" s="165" t="s">
        <v>724</v>
      </c>
      <c r="B23" s="116">
        <f aca="true" t="shared" si="2" ref="B23:M23">SUM(B24:B28)</f>
        <v>58424594.67999999</v>
      </c>
      <c r="C23" s="116">
        <f t="shared" si="2"/>
        <v>23155281.540000003</v>
      </c>
      <c r="D23" s="116">
        <f t="shared" si="2"/>
        <v>21666898.41</v>
      </c>
      <c r="E23" s="116">
        <f t="shared" si="2"/>
        <v>24750407.729999997</v>
      </c>
      <c r="F23" s="116">
        <f t="shared" si="2"/>
        <v>28472626.47</v>
      </c>
      <c r="G23" s="116">
        <f t="shared" si="2"/>
        <v>27184699.820000004</v>
      </c>
      <c r="H23" s="118">
        <f t="shared" si="2"/>
        <v>30357573.96</v>
      </c>
      <c r="I23" s="116">
        <f t="shared" si="2"/>
        <v>28912493.970000003</v>
      </c>
      <c r="J23" s="116">
        <f t="shared" si="2"/>
        <v>32305148.18</v>
      </c>
      <c r="K23" s="116">
        <f t="shared" si="2"/>
        <v>40364620.589999996</v>
      </c>
      <c r="L23" s="116">
        <f t="shared" si="2"/>
        <v>21745554.28</v>
      </c>
      <c r="M23" s="116">
        <f t="shared" si="2"/>
        <v>26989700.56</v>
      </c>
      <c r="N23" s="116">
        <f t="shared" si="1"/>
        <v>364329600.19</v>
      </c>
      <c r="O23" s="118">
        <f>SUM(O24:O28)</f>
        <v>320597000</v>
      </c>
    </row>
    <row r="24" spans="1:15" ht="12.75">
      <c r="A24" s="165" t="s">
        <v>564</v>
      </c>
      <c r="B24" s="116">
        <v>35120149.87</v>
      </c>
      <c r="C24" s="116">
        <v>9199315.34</v>
      </c>
      <c r="D24" s="116">
        <v>8717971.71</v>
      </c>
      <c r="E24" s="116">
        <v>8994314.77</v>
      </c>
      <c r="F24" s="116">
        <v>9078974.25</v>
      </c>
      <c r="G24" s="116">
        <v>8603596.71</v>
      </c>
      <c r="H24" s="118">
        <v>9216919.41</v>
      </c>
      <c r="I24" s="116">
        <v>9055818.04</v>
      </c>
      <c r="J24" s="116">
        <v>8984619.18</v>
      </c>
      <c r="K24" s="116">
        <v>11690280.42</v>
      </c>
      <c r="L24" s="116">
        <v>3384513.61</v>
      </c>
      <c r="M24" s="116">
        <v>9105209.72</v>
      </c>
      <c r="N24" s="116">
        <f t="shared" si="1"/>
        <v>131151683.03</v>
      </c>
      <c r="O24" s="118">
        <v>125330000</v>
      </c>
    </row>
    <row r="25" spans="1:15" ht="12.75">
      <c r="A25" s="165" t="s">
        <v>565</v>
      </c>
      <c r="B25" s="116">
        <v>8444906.25</v>
      </c>
      <c r="C25" s="116">
        <v>6949839.99</v>
      </c>
      <c r="D25" s="116">
        <v>5875581.11</v>
      </c>
      <c r="E25" s="116">
        <v>6888477.1</v>
      </c>
      <c r="F25" s="116">
        <v>8947044.59</v>
      </c>
      <c r="G25" s="116">
        <v>9007987.86</v>
      </c>
      <c r="H25" s="118">
        <v>9731098.69</v>
      </c>
      <c r="I25" s="116">
        <v>9047579.56</v>
      </c>
      <c r="J25" s="116">
        <v>10112587.32</v>
      </c>
      <c r="K25" s="116">
        <v>10027385.23</v>
      </c>
      <c r="L25" s="116">
        <v>10416025.58</v>
      </c>
      <c r="M25" s="116">
        <v>8828357.76</v>
      </c>
      <c r="N25" s="116">
        <f t="shared" si="1"/>
        <v>104276871.04</v>
      </c>
      <c r="O25" s="118">
        <v>90380000</v>
      </c>
    </row>
    <row r="26" spans="1:15" ht="12.75">
      <c r="A26" s="165" t="s">
        <v>566</v>
      </c>
      <c r="B26" s="116">
        <v>2375595.76</v>
      </c>
      <c r="C26" s="116">
        <v>1665356.18</v>
      </c>
      <c r="D26" s="116">
        <v>1833555.64</v>
      </c>
      <c r="E26" s="116">
        <v>3003145.01</v>
      </c>
      <c r="F26" s="116">
        <v>4397958.16</v>
      </c>
      <c r="G26" s="116">
        <v>3965270.6</v>
      </c>
      <c r="H26" s="118">
        <v>5249031.24</v>
      </c>
      <c r="I26" s="116">
        <v>5180775.87</v>
      </c>
      <c r="J26" s="116">
        <v>5371747.13</v>
      </c>
      <c r="K26" s="116">
        <v>5887294.56</v>
      </c>
      <c r="L26" s="116">
        <v>3878841.43</v>
      </c>
      <c r="M26" s="116">
        <v>4881095.32</v>
      </c>
      <c r="N26" s="116">
        <f t="shared" si="1"/>
        <v>47689666.900000006</v>
      </c>
      <c r="O26" s="118">
        <v>30405000</v>
      </c>
    </row>
    <row r="27" spans="1:15" ht="12.75">
      <c r="A27" s="165" t="s">
        <v>461</v>
      </c>
      <c r="B27" s="116">
        <v>3139426.53</v>
      </c>
      <c r="C27" s="116">
        <v>3150747.07</v>
      </c>
      <c r="D27" s="116">
        <v>3222435.61</v>
      </c>
      <c r="E27" s="116">
        <v>3192627.99</v>
      </c>
      <c r="F27" s="116">
        <v>3650495.84</v>
      </c>
      <c r="G27" s="116">
        <v>3346633.28</v>
      </c>
      <c r="H27" s="118">
        <v>3831518.38</v>
      </c>
      <c r="I27" s="116">
        <v>3318807.54</v>
      </c>
      <c r="J27" s="116">
        <v>5519383.63</v>
      </c>
      <c r="K27" s="116">
        <v>9599637.23</v>
      </c>
      <c r="L27" s="116">
        <v>2485203.49</v>
      </c>
      <c r="M27" s="116">
        <v>1742688.13</v>
      </c>
      <c r="N27" s="116">
        <f t="shared" si="1"/>
        <v>46199604.72</v>
      </c>
      <c r="O27" s="118">
        <v>40800000</v>
      </c>
    </row>
    <row r="28" spans="1:15" ht="12.75">
      <c r="A28" s="165" t="s">
        <v>725</v>
      </c>
      <c r="B28" s="116">
        <v>9344516.27</v>
      </c>
      <c r="C28" s="116">
        <v>2190022.96</v>
      </c>
      <c r="D28" s="116">
        <v>2017354.34</v>
      </c>
      <c r="E28" s="116">
        <v>2671842.86</v>
      </c>
      <c r="F28" s="116">
        <v>2398153.63</v>
      </c>
      <c r="G28" s="116">
        <v>2261211.37</v>
      </c>
      <c r="H28" s="118">
        <v>2329006.24</v>
      </c>
      <c r="I28" s="116">
        <v>2309512.96</v>
      </c>
      <c r="J28" s="116">
        <v>2316810.92</v>
      </c>
      <c r="K28" s="116">
        <v>3160023.15</v>
      </c>
      <c r="L28" s="116">
        <v>1580970.17</v>
      </c>
      <c r="M28" s="116">
        <v>2432349.63</v>
      </c>
      <c r="N28" s="116">
        <f t="shared" si="1"/>
        <v>35011774.50000001</v>
      </c>
      <c r="O28" s="118">
        <v>33682000</v>
      </c>
    </row>
    <row r="29" spans="1:15" ht="12.75">
      <c r="A29" s="165" t="s">
        <v>123</v>
      </c>
      <c r="B29" s="116">
        <v>6029373.36</v>
      </c>
      <c r="C29" s="116">
        <v>5527415.93</v>
      </c>
      <c r="D29" s="116">
        <v>5516745.31</v>
      </c>
      <c r="E29" s="116">
        <v>5575716.33</v>
      </c>
      <c r="F29" s="116">
        <v>5613724.52</v>
      </c>
      <c r="G29" s="116">
        <v>5475716.88</v>
      </c>
      <c r="H29" s="118">
        <v>5350234.72</v>
      </c>
      <c r="I29" s="116">
        <v>5428942.27</v>
      </c>
      <c r="J29" s="116">
        <v>5438175.26</v>
      </c>
      <c r="K29" s="116">
        <v>11523333.1</v>
      </c>
      <c r="L29" s="116">
        <v>1667298.92</v>
      </c>
      <c r="M29" s="116">
        <v>5363798.54</v>
      </c>
      <c r="N29" s="116">
        <f t="shared" si="1"/>
        <v>68510475.14</v>
      </c>
      <c r="O29" s="118">
        <v>72723300</v>
      </c>
    </row>
    <row r="30" spans="1:15" ht="12.75">
      <c r="A30" s="165" t="s">
        <v>124</v>
      </c>
      <c r="B30" s="116">
        <f aca="true" t="shared" si="3" ref="B30:M30">SUM(B31:B32)</f>
        <v>731439.61</v>
      </c>
      <c r="C30" s="116">
        <f t="shared" si="3"/>
        <v>339382.51</v>
      </c>
      <c r="D30" s="116">
        <f t="shared" si="3"/>
        <v>1001789.53</v>
      </c>
      <c r="E30" s="116">
        <f t="shared" si="3"/>
        <v>753758.11</v>
      </c>
      <c r="F30" s="116">
        <f t="shared" si="3"/>
        <v>1592832.8499999999</v>
      </c>
      <c r="G30" s="116">
        <f t="shared" si="3"/>
        <v>936937.01</v>
      </c>
      <c r="H30" s="118">
        <f t="shared" si="3"/>
        <v>-65342.40000000001</v>
      </c>
      <c r="I30" s="116">
        <f t="shared" si="3"/>
        <v>604908.0700000001</v>
      </c>
      <c r="J30" s="116">
        <f t="shared" si="3"/>
        <v>582604.01</v>
      </c>
      <c r="K30" s="116">
        <f t="shared" si="3"/>
        <v>3657178.8200000003</v>
      </c>
      <c r="L30" s="116">
        <f t="shared" si="3"/>
        <v>892379.77</v>
      </c>
      <c r="M30" s="116">
        <f t="shared" si="3"/>
        <v>445285.45</v>
      </c>
      <c r="N30" s="116">
        <f t="shared" si="1"/>
        <v>11473153.34</v>
      </c>
      <c r="O30" s="118">
        <f>SUM(O31:O32)</f>
        <v>19363000.31</v>
      </c>
    </row>
    <row r="31" spans="1:15" ht="12.75">
      <c r="A31" s="165" t="s">
        <v>722</v>
      </c>
      <c r="B31" s="17">
        <v>645552.28</v>
      </c>
      <c r="C31" s="17">
        <v>276859.21</v>
      </c>
      <c r="D31" s="17">
        <v>929354.03</v>
      </c>
      <c r="E31" s="17">
        <v>677311.62</v>
      </c>
      <c r="F31" s="21">
        <v>1507706.89</v>
      </c>
      <c r="G31" s="17">
        <v>840973.8</v>
      </c>
      <c r="H31" s="17">
        <v>-143264.23</v>
      </c>
      <c r="I31" s="17">
        <v>510441.77</v>
      </c>
      <c r="J31" s="17">
        <v>500054.1</v>
      </c>
      <c r="K31" s="17">
        <v>3389207.62</v>
      </c>
      <c r="L31" s="116">
        <v>757522.62</v>
      </c>
      <c r="M31" s="116">
        <v>354918.34</v>
      </c>
      <c r="N31" s="116">
        <f t="shared" si="1"/>
        <v>10246638.049999999</v>
      </c>
      <c r="O31" s="118">
        <v>18218000.31</v>
      </c>
    </row>
    <row r="32" spans="1:15" ht="12.75">
      <c r="A32" s="165" t="s">
        <v>723</v>
      </c>
      <c r="B32" s="116">
        <v>85887.33</v>
      </c>
      <c r="C32" s="116">
        <v>62523.3</v>
      </c>
      <c r="D32" s="116">
        <v>72435.5</v>
      </c>
      <c r="E32" s="116">
        <v>76446.49</v>
      </c>
      <c r="F32" s="116">
        <v>85125.96</v>
      </c>
      <c r="G32" s="116">
        <v>95963.21</v>
      </c>
      <c r="H32" s="118">
        <v>77921.83</v>
      </c>
      <c r="I32" s="116">
        <v>94466.3</v>
      </c>
      <c r="J32" s="116">
        <v>82549.91</v>
      </c>
      <c r="K32" s="116">
        <v>267971.2</v>
      </c>
      <c r="L32" s="116">
        <v>134857.15</v>
      </c>
      <c r="M32" s="116">
        <v>90367.11</v>
      </c>
      <c r="N32" s="116">
        <f t="shared" si="1"/>
        <v>1226515.29</v>
      </c>
      <c r="O32" s="118">
        <v>1145000</v>
      </c>
    </row>
    <row r="33" spans="1:15" ht="12.75">
      <c r="A33" s="165" t="s">
        <v>125</v>
      </c>
      <c r="B33" s="116"/>
      <c r="C33" s="116"/>
      <c r="D33" s="116"/>
      <c r="E33" s="116"/>
      <c r="F33" s="116"/>
      <c r="G33" s="116"/>
      <c r="H33" s="118"/>
      <c r="I33" s="116"/>
      <c r="J33" s="116"/>
      <c r="K33" s="116"/>
      <c r="L33" s="116"/>
      <c r="M33" s="116"/>
      <c r="N33" s="116">
        <f t="shared" si="1"/>
        <v>0</v>
      </c>
      <c r="O33" s="118"/>
    </row>
    <row r="34" spans="1:15" ht="12.75">
      <c r="A34" s="165" t="s">
        <v>126</v>
      </c>
      <c r="B34" s="116"/>
      <c r="C34" s="116"/>
      <c r="D34" s="116"/>
      <c r="E34" s="116"/>
      <c r="F34" s="116"/>
      <c r="G34" s="116"/>
      <c r="H34" s="118"/>
      <c r="I34" s="116"/>
      <c r="J34" s="116"/>
      <c r="K34" s="116"/>
      <c r="L34" s="116"/>
      <c r="M34" s="116"/>
      <c r="N34" s="116">
        <f t="shared" si="1"/>
        <v>0</v>
      </c>
      <c r="O34" s="118"/>
    </row>
    <row r="35" spans="1:15" ht="12.75">
      <c r="A35" s="165" t="s">
        <v>130</v>
      </c>
      <c r="B35" s="116">
        <v>10667813.48</v>
      </c>
      <c r="C35" s="116">
        <v>9168003.33</v>
      </c>
      <c r="D35" s="116">
        <v>9932927.16</v>
      </c>
      <c r="E35" s="116">
        <v>10193324.18</v>
      </c>
      <c r="F35" s="116">
        <v>9765143.15</v>
      </c>
      <c r="G35" s="116">
        <v>9502478.62</v>
      </c>
      <c r="H35" s="118">
        <v>10024132.6</v>
      </c>
      <c r="I35" s="116">
        <v>10312774.22</v>
      </c>
      <c r="J35" s="116">
        <v>11347574.52</v>
      </c>
      <c r="K35" s="116">
        <v>12218168.01</v>
      </c>
      <c r="L35" s="116">
        <v>10555433.23</v>
      </c>
      <c r="M35" s="116">
        <v>11158566.81</v>
      </c>
      <c r="N35" s="116">
        <f t="shared" si="1"/>
        <v>124846339.31</v>
      </c>
      <c r="O35" s="118">
        <v>126233000</v>
      </c>
    </row>
    <row r="36" spans="1:15" ht="12.75">
      <c r="A36" s="165" t="s">
        <v>127</v>
      </c>
      <c r="B36" s="116">
        <f aca="true" t="shared" si="4" ref="B36:M36">SUM(B37:B44)</f>
        <v>61595510.980000004</v>
      </c>
      <c r="C36" s="116">
        <f t="shared" si="4"/>
        <v>41412377.79000001</v>
      </c>
      <c r="D36" s="116">
        <f t="shared" si="4"/>
        <v>42138304.55</v>
      </c>
      <c r="E36" s="116">
        <f t="shared" si="4"/>
        <v>53862802.89999999</v>
      </c>
      <c r="F36" s="116">
        <f t="shared" si="4"/>
        <v>56208650.57000001</v>
      </c>
      <c r="G36" s="116">
        <f t="shared" si="4"/>
        <v>56905029.900000006</v>
      </c>
      <c r="H36" s="118">
        <f t="shared" si="4"/>
        <v>60366953.03</v>
      </c>
      <c r="I36" s="116">
        <f t="shared" si="4"/>
        <v>52636972.760000005</v>
      </c>
      <c r="J36" s="116">
        <f t="shared" si="4"/>
        <v>50419770.47</v>
      </c>
      <c r="K36" s="116">
        <f t="shared" si="4"/>
        <v>70089584.03</v>
      </c>
      <c r="L36" s="116">
        <f t="shared" si="4"/>
        <v>87297480.07999998</v>
      </c>
      <c r="M36" s="116">
        <f t="shared" si="4"/>
        <v>55995926.44</v>
      </c>
      <c r="N36" s="116">
        <f t="shared" si="1"/>
        <v>688929363.5</v>
      </c>
      <c r="O36" s="118">
        <f>SUM(O37:O44)</f>
        <v>620608000</v>
      </c>
    </row>
    <row r="37" spans="1:15" ht="12.75">
      <c r="A37" s="165" t="s">
        <v>567</v>
      </c>
      <c r="B37" s="116">
        <v>5075473.85</v>
      </c>
      <c r="C37" s="116">
        <v>4975087.95</v>
      </c>
      <c r="D37" s="116">
        <v>5197840.62</v>
      </c>
      <c r="E37" s="116">
        <v>4231321.06</v>
      </c>
      <c r="F37" s="116">
        <v>7294364.75</v>
      </c>
      <c r="G37" s="116">
        <v>4633556.27</v>
      </c>
      <c r="H37" s="118">
        <v>3732370.38</v>
      </c>
      <c r="I37" s="116">
        <v>5022263.96</v>
      </c>
      <c r="J37" s="116">
        <v>6656630.48</v>
      </c>
      <c r="K37" s="116">
        <v>9925550.17</v>
      </c>
      <c r="L37" s="116">
        <v>7222055.76</v>
      </c>
      <c r="M37" s="116">
        <v>9466283.96</v>
      </c>
      <c r="N37" s="116">
        <f t="shared" si="1"/>
        <v>73432799.21000001</v>
      </c>
      <c r="O37" s="118">
        <v>77050000</v>
      </c>
    </row>
    <row r="38" spans="1:15" ht="12.75">
      <c r="A38" s="165" t="s">
        <v>570</v>
      </c>
      <c r="B38" s="116">
        <v>24549143.58</v>
      </c>
      <c r="C38" s="116">
        <v>16583196.24</v>
      </c>
      <c r="D38" s="116">
        <v>16300816.41</v>
      </c>
      <c r="E38" s="116">
        <v>19887227.25</v>
      </c>
      <c r="F38" s="116">
        <v>17629245</v>
      </c>
      <c r="G38" s="116">
        <v>21139533.55</v>
      </c>
      <c r="H38" s="118">
        <v>24703033.16</v>
      </c>
      <c r="I38" s="116">
        <v>23911628.29</v>
      </c>
      <c r="J38" s="116">
        <v>22083779.54</v>
      </c>
      <c r="K38" s="116">
        <v>31691353.05</v>
      </c>
      <c r="L38" s="116">
        <v>25129804.3</v>
      </c>
      <c r="M38" s="116">
        <v>16515040.83</v>
      </c>
      <c r="N38" s="116">
        <f t="shared" si="1"/>
        <v>260123801.20000002</v>
      </c>
      <c r="O38" s="118">
        <v>262000000</v>
      </c>
    </row>
    <row r="39" spans="1:15" ht="12.75">
      <c r="A39" s="165" t="s">
        <v>569</v>
      </c>
      <c r="B39" s="116">
        <v>8696912.15</v>
      </c>
      <c r="C39" s="116">
        <v>1271684.46</v>
      </c>
      <c r="D39" s="116">
        <v>1394307.64</v>
      </c>
      <c r="E39" s="116">
        <v>2353933.45</v>
      </c>
      <c r="F39" s="116">
        <v>2449664.99</v>
      </c>
      <c r="G39" s="116">
        <v>2450201.73</v>
      </c>
      <c r="H39" s="118">
        <v>3033421.42</v>
      </c>
      <c r="I39" s="116">
        <v>2546533.92</v>
      </c>
      <c r="J39" s="116">
        <v>2424027.21</v>
      </c>
      <c r="K39" s="116">
        <v>3523019.54</v>
      </c>
      <c r="L39" s="116">
        <v>30351743.41</v>
      </c>
      <c r="M39" s="116">
        <v>12508415.29</v>
      </c>
      <c r="N39" s="116">
        <f t="shared" si="1"/>
        <v>73003865.21000001</v>
      </c>
      <c r="O39" s="118">
        <v>66000000</v>
      </c>
    </row>
    <row r="40" spans="1:15" ht="12.75">
      <c r="A40" s="165" t="s">
        <v>568</v>
      </c>
      <c r="B40" s="116">
        <v>2292.24</v>
      </c>
      <c r="C40" s="116">
        <v>4525.64</v>
      </c>
      <c r="D40" s="116">
        <v>393.07</v>
      </c>
      <c r="E40" s="116">
        <v>26712.93</v>
      </c>
      <c r="F40" s="116">
        <v>1995.48</v>
      </c>
      <c r="G40" s="116">
        <v>4075.86</v>
      </c>
      <c r="H40" s="118">
        <v>58103.78</v>
      </c>
      <c r="I40" s="116">
        <v>946945.07</v>
      </c>
      <c r="J40" s="116">
        <v>18479.32</v>
      </c>
      <c r="K40" s="116">
        <v>14581.04</v>
      </c>
      <c r="L40" s="116">
        <v>20609.3</v>
      </c>
      <c r="M40" s="116">
        <v>4189.29</v>
      </c>
      <c r="N40" s="116">
        <f t="shared" si="1"/>
        <v>1102903.02</v>
      </c>
      <c r="O40" s="118">
        <v>1000000</v>
      </c>
    </row>
    <row r="41" spans="1:15" ht="12.75">
      <c r="A41" s="165" t="s">
        <v>462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8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f t="shared" si="1"/>
        <v>0</v>
      </c>
      <c r="O41" s="118">
        <v>5000</v>
      </c>
    </row>
    <row r="42" spans="1:15" ht="12.75">
      <c r="A42" s="165" t="s">
        <v>463</v>
      </c>
      <c r="B42" s="116">
        <v>147711.31</v>
      </c>
      <c r="C42" s="116">
        <v>134722.62</v>
      </c>
      <c r="D42" s="116">
        <v>112950.31</v>
      </c>
      <c r="E42" s="116">
        <v>117945.52</v>
      </c>
      <c r="F42" s="116">
        <v>129441.84</v>
      </c>
      <c r="G42" s="116">
        <v>140434.18</v>
      </c>
      <c r="H42" s="118">
        <v>189307.92</v>
      </c>
      <c r="I42" s="116">
        <v>208407.12</v>
      </c>
      <c r="J42" s="116">
        <v>201781.45</v>
      </c>
      <c r="K42" s="116">
        <v>254267.84</v>
      </c>
      <c r="L42" s="116">
        <v>225417.52</v>
      </c>
      <c r="M42" s="116">
        <v>187367.32</v>
      </c>
      <c r="N42" s="116">
        <f t="shared" si="1"/>
        <v>2049754.9500000002</v>
      </c>
      <c r="O42" s="118">
        <v>1800000</v>
      </c>
    </row>
    <row r="43" spans="1:15" ht="12.75">
      <c r="A43" s="165" t="s">
        <v>464</v>
      </c>
      <c r="B43" s="116">
        <v>11853415.08</v>
      </c>
      <c r="C43" s="116">
        <v>7305817.47</v>
      </c>
      <c r="D43" s="116">
        <v>7303691.54</v>
      </c>
      <c r="E43" s="116">
        <v>8830353.5</v>
      </c>
      <c r="F43" s="116">
        <v>7882902.59</v>
      </c>
      <c r="G43" s="116">
        <v>9272837.4</v>
      </c>
      <c r="H43" s="118">
        <v>10791779.89</v>
      </c>
      <c r="I43" s="116">
        <v>10519593.44</v>
      </c>
      <c r="J43" s="116">
        <v>10014898.31</v>
      </c>
      <c r="K43" s="116">
        <v>14061061.9</v>
      </c>
      <c r="L43" s="116">
        <v>15674165.5</v>
      </c>
      <c r="M43" s="116">
        <v>9439656.23</v>
      </c>
      <c r="N43" s="116">
        <f t="shared" si="1"/>
        <v>122950172.85000002</v>
      </c>
      <c r="O43" s="118">
        <v>117800000</v>
      </c>
    </row>
    <row r="44" spans="1:15" ht="12.75">
      <c r="A44" s="165" t="s">
        <v>465</v>
      </c>
      <c r="B44" s="116">
        <v>11270562.77</v>
      </c>
      <c r="C44" s="116">
        <v>11137343.41</v>
      </c>
      <c r="D44" s="116">
        <v>11828304.96</v>
      </c>
      <c r="E44" s="116">
        <v>18415309.19</v>
      </c>
      <c r="F44" s="116">
        <v>20821035.92</v>
      </c>
      <c r="G44" s="116">
        <v>19264390.91</v>
      </c>
      <c r="H44" s="118">
        <v>17858936.48</v>
      </c>
      <c r="I44" s="116">
        <v>9481600.96</v>
      </c>
      <c r="J44" s="116">
        <v>9020174.16</v>
      </c>
      <c r="K44" s="116">
        <v>10619750.49</v>
      </c>
      <c r="L44" s="116">
        <v>8673684.29</v>
      </c>
      <c r="M44" s="116">
        <v>7874973.52</v>
      </c>
      <c r="N44" s="116">
        <f t="shared" si="1"/>
        <v>156266067.06</v>
      </c>
      <c r="O44" s="118">
        <v>94953000</v>
      </c>
    </row>
    <row r="45" spans="1:15" ht="12.75">
      <c r="A45" s="165" t="s">
        <v>128</v>
      </c>
      <c r="B45" s="116">
        <v>1208770.86</v>
      </c>
      <c r="C45" s="116">
        <v>835296.02</v>
      </c>
      <c r="D45" s="116">
        <v>926884.79</v>
      </c>
      <c r="E45" s="116">
        <v>1018669.61</v>
      </c>
      <c r="F45" s="116">
        <v>1000143.69</v>
      </c>
      <c r="G45" s="116">
        <v>1213452.28</v>
      </c>
      <c r="H45" s="118">
        <v>1009763.49</v>
      </c>
      <c r="I45" s="116">
        <v>1137223.32</v>
      </c>
      <c r="J45" s="116">
        <v>1829672.06</v>
      </c>
      <c r="K45" s="116">
        <v>2141871.85</v>
      </c>
      <c r="L45" s="116">
        <v>2212366.25</v>
      </c>
      <c r="M45" s="116">
        <v>2046216.6</v>
      </c>
      <c r="N45" s="116">
        <f t="shared" si="1"/>
        <v>16580330.82</v>
      </c>
      <c r="O45" s="118">
        <v>11387200</v>
      </c>
    </row>
    <row r="46" spans="1:15" ht="12.75">
      <c r="A46" s="179" t="s">
        <v>129</v>
      </c>
      <c r="B46" s="116">
        <f aca="true" t="shared" si="5" ref="B46:M46">SUM(B47:B49)</f>
        <v>10787342.11</v>
      </c>
      <c r="C46" s="116">
        <f t="shared" si="5"/>
        <v>7814753.99</v>
      </c>
      <c r="D46" s="116">
        <f t="shared" si="5"/>
        <v>7836984.949999999</v>
      </c>
      <c r="E46" s="116">
        <f t="shared" si="5"/>
        <v>8564852.63</v>
      </c>
      <c r="F46" s="116">
        <f t="shared" si="5"/>
        <v>8151931.970000001</v>
      </c>
      <c r="G46" s="116">
        <f t="shared" si="5"/>
        <v>8730857</v>
      </c>
      <c r="H46" s="118">
        <f t="shared" si="5"/>
        <v>9378175.1</v>
      </c>
      <c r="I46" s="116">
        <f t="shared" si="5"/>
        <v>9444897.21</v>
      </c>
      <c r="J46" s="116">
        <f t="shared" si="5"/>
        <v>9299065.879999999</v>
      </c>
      <c r="K46" s="116">
        <f t="shared" si="5"/>
        <v>17094740.200000003</v>
      </c>
      <c r="L46" s="116">
        <f t="shared" si="5"/>
        <v>12960968.959999999</v>
      </c>
      <c r="M46" s="116">
        <f t="shared" si="5"/>
        <v>10684446.8</v>
      </c>
      <c r="N46" s="116">
        <f t="shared" si="1"/>
        <v>120749016.8</v>
      </c>
      <c r="O46" s="118">
        <f>SUM(O47:O49)</f>
        <v>123361000</v>
      </c>
    </row>
    <row r="47" spans="1:15" ht="12.75">
      <c r="A47" s="165" t="s">
        <v>334</v>
      </c>
      <c r="B47" s="116">
        <v>2854367.33</v>
      </c>
      <c r="C47" s="116">
        <v>2981712.76</v>
      </c>
      <c r="D47" s="116">
        <v>2996984</v>
      </c>
      <c r="E47" s="116">
        <v>3002940.96</v>
      </c>
      <c r="F47" s="116">
        <v>3006060.58</v>
      </c>
      <c r="G47" s="116">
        <v>2821411.14</v>
      </c>
      <c r="H47" s="118">
        <v>2798698.36</v>
      </c>
      <c r="I47" s="116">
        <v>2799648.57</v>
      </c>
      <c r="J47" s="116">
        <v>2789973.85</v>
      </c>
      <c r="K47" s="116">
        <v>8138436.32</v>
      </c>
      <c r="L47" s="116">
        <v>371042.94</v>
      </c>
      <c r="M47" s="116">
        <v>2766444.54</v>
      </c>
      <c r="N47" s="116">
        <f t="shared" si="1"/>
        <v>37327721.35</v>
      </c>
      <c r="O47" s="118">
        <v>40000000</v>
      </c>
    </row>
    <row r="48" spans="1:15" ht="12.75">
      <c r="A48" s="165" t="s">
        <v>169</v>
      </c>
      <c r="B48" s="116">
        <v>238668.16</v>
      </c>
      <c r="C48" s="116">
        <v>239197.9</v>
      </c>
      <c r="D48" s="116">
        <v>238739.36</v>
      </c>
      <c r="E48" s="116">
        <v>238483.68</v>
      </c>
      <c r="F48" s="116">
        <v>235941.73</v>
      </c>
      <c r="G48" s="116">
        <v>235885.59</v>
      </c>
      <c r="H48" s="118">
        <v>236270.1</v>
      </c>
      <c r="I48" s="116">
        <v>118092.97</v>
      </c>
      <c r="J48" s="116">
        <v>232152.48</v>
      </c>
      <c r="K48" s="116">
        <v>464304.96</v>
      </c>
      <c r="L48" s="116">
        <v>0</v>
      </c>
      <c r="M48" s="116">
        <v>181742.95</v>
      </c>
      <c r="N48" s="116">
        <f t="shared" si="1"/>
        <v>2659479.8800000004</v>
      </c>
      <c r="O48" s="118">
        <v>3000000</v>
      </c>
    </row>
    <row r="49" spans="1:15" ht="12.75">
      <c r="A49" s="165" t="s">
        <v>172</v>
      </c>
      <c r="B49" s="116">
        <v>7694306.62</v>
      </c>
      <c r="C49" s="116">
        <v>4593843.33</v>
      </c>
      <c r="D49" s="116">
        <v>4601261.59</v>
      </c>
      <c r="E49" s="116">
        <v>5323427.99</v>
      </c>
      <c r="F49" s="116">
        <v>4909929.66</v>
      </c>
      <c r="G49" s="116">
        <v>5673560.27</v>
      </c>
      <c r="H49" s="118">
        <v>6343206.64</v>
      </c>
      <c r="I49" s="116">
        <v>6527155.67</v>
      </c>
      <c r="J49" s="116">
        <v>6276939.55</v>
      </c>
      <c r="K49" s="116">
        <v>8491998.92</v>
      </c>
      <c r="L49" s="116">
        <v>12589926.02</v>
      </c>
      <c r="M49" s="116">
        <v>7736259.31</v>
      </c>
      <c r="N49" s="116">
        <f t="shared" si="1"/>
        <v>80761815.57000001</v>
      </c>
      <c r="O49" s="118">
        <v>80361000</v>
      </c>
    </row>
    <row r="50" spans="1:15" ht="12.75">
      <c r="A50" s="553" t="s">
        <v>192</v>
      </c>
      <c r="B50" s="128">
        <f aca="true" t="shared" si="6" ref="B50:M50">B22-B46</f>
        <v>127870160.86000003</v>
      </c>
      <c r="C50" s="128">
        <f t="shared" si="6"/>
        <v>72623003.13000001</v>
      </c>
      <c r="D50" s="128">
        <f t="shared" si="6"/>
        <v>73346564.8</v>
      </c>
      <c r="E50" s="128">
        <f t="shared" si="6"/>
        <v>87589826.22999999</v>
      </c>
      <c r="F50" s="129">
        <f t="shared" si="6"/>
        <v>94501189.28</v>
      </c>
      <c r="G50" s="128">
        <f t="shared" si="6"/>
        <v>92487457.51</v>
      </c>
      <c r="H50" s="129">
        <f t="shared" si="6"/>
        <v>97665140.3</v>
      </c>
      <c r="I50" s="129">
        <f t="shared" si="6"/>
        <v>89588417.4</v>
      </c>
      <c r="J50" s="128">
        <f t="shared" si="6"/>
        <v>92623878.62</v>
      </c>
      <c r="K50" s="128">
        <f t="shared" si="6"/>
        <v>122900016.2</v>
      </c>
      <c r="L50" s="128">
        <f t="shared" si="6"/>
        <v>111409543.57</v>
      </c>
      <c r="M50" s="128">
        <f t="shared" si="6"/>
        <v>91315047.6</v>
      </c>
      <c r="N50" s="129">
        <f t="shared" si="1"/>
        <v>1153920245.4999998</v>
      </c>
      <c r="O50" s="129">
        <f>O22-O46</f>
        <v>1047550500.31</v>
      </c>
    </row>
    <row r="51" spans="1:15" ht="12.75">
      <c r="A51" s="553" t="s">
        <v>895</v>
      </c>
      <c r="B51" s="82">
        <v>196747.75</v>
      </c>
      <c r="C51" s="82">
        <v>50026.13</v>
      </c>
      <c r="D51" s="29">
        <v>3200001.6</v>
      </c>
      <c r="E51" s="82">
        <v>1.82</v>
      </c>
      <c r="F51" s="29">
        <v>0.77</v>
      </c>
      <c r="G51" s="29">
        <v>-12535.67</v>
      </c>
      <c r="H51" s="82">
        <v>4.1</v>
      </c>
      <c r="I51" s="82">
        <v>7.48</v>
      </c>
      <c r="J51" s="82">
        <v>3.1</v>
      </c>
      <c r="K51" s="82">
        <v>4.53</v>
      </c>
      <c r="L51" s="128">
        <v>0</v>
      </c>
      <c r="M51" s="128">
        <v>6.89</v>
      </c>
      <c r="N51" s="129">
        <f>SUM(B51:M51)</f>
        <v>3434268.5</v>
      </c>
      <c r="O51" s="129">
        <v>0</v>
      </c>
    </row>
    <row r="52" spans="1:15" ht="12.75">
      <c r="A52" s="553" t="s">
        <v>894</v>
      </c>
      <c r="B52" s="128">
        <f aca="true" t="shared" si="7" ref="B52:O52">B50-B51</f>
        <v>127673413.11000003</v>
      </c>
      <c r="C52" s="128">
        <f t="shared" si="7"/>
        <v>72572977.00000001</v>
      </c>
      <c r="D52" s="128">
        <f t="shared" si="7"/>
        <v>70146563.2</v>
      </c>
      <c r="E52" s="128">
        <f t="shared" si="7"/>
        <v>87589824.41</v>
      </c>
      <c r="F52" s="128">
        <f t="shared" si="7"/>
        <v>94501188.51</v>
      </c>
      <c r="G52" s="128">
        <f t="shared" si="7"/>
        <v>92499993.18</v>
      </c>
      <c r="H52" s="128">
        <f t="shared" si="7"/>
        <v>97665136.2</v>
      </c>
      <c r="I52" s="128">
        <f t="shared" si="7"/>
        <v>89588409.92</v>
      </c>
      <c r="J52" s="128">
        <f t="shared" si="7"/>
        <v>92623875.52000001</v>
      </c>
      <c r="K52" s="128">
        <f t="shared" si="7"/>
        <v>122900011.67</v>
      </c>
      <c r="L52" s="128">
        <f t="shared" si="7"/>
        <v>111409543.57</v>
      </c>
      <c r="M52" s="128">
        <f t="shared" si="7"/>
        <v>91315040.71</v>
      </c>
      <c r="N52" s="128">
        <f t="shared" si="7"/>
        <v>1150485976.9999998</v>
      </c>
      <c r="O52" s="129">
        <f t="shared" si="7"/>
        <v>1047550500.31</v>
      </c>
    </row>
    <row r="53" spans="1:15" ht="12.75">
      <c r="A53" s="553" t="s">
        <v>893</v>
      </c>
      <c r="B53" s="128">
        <v>0</v>
      </c>
      <c r="C53" s="128">
        <v>0</v>
      </c>
      <c r="D53" s="128">
        <v>0</v>
      </c>
      <c r="E53" s="128">
        <v>0</v>
      </c>
      <c r="F53" s="129">
        <v>0</v>
      </c>
      <c r="G53" s="128">
        <v>0</v>
      </c>
      <c r="H53" s="129">
        <v>0</v>
      </c>
      <c r="I53" s="129">
        <v>0</v>
      </c>
      <c r="J53" s="128">
        <v>0</v>
      </c>
      <c r="K53" s="128">
        <v>0</v>
      </c>
      <c r="L53" s="128">
        <v>0</v>
      </c>
      <c r="M53" s="128">
        <v>0</v>
      </c>
      <c r="N53" s="129">
        <f>SUM(B53:M53)</f>
        <v>0</v>
      </c>
      <c r="O53" s="129">
        <v>0</v>
      </c>
    </row>
    <row r="54" spans="1:15" ht="12.75">
      <c r="A54" s="553" t="s">
        <v>892</v>
      </c>
      <c r="B54" s="128">
        <f aca="true" t="shared" si="8" ref="B54:O54">B52-B53</f>
        <v>127673413.11000003</v>
      </c>
      <c r="C54" s="128">
        <f t="shared" si="8"/>
        <v>72572977.00000001</v>
      </c>
      <c r="D54" s="128">
        <f t="shared" si="8"/>
        <v>70146563.2</v>
      </c>
      <c r="E54" s="128">
        <f t="shared" si="8"/>
        <v>87589824.41</v>
      </c>
      <c r="F54" s="128">
        <f t="shared" si="8"/>
        <v>94501188.51</v>
      </c>
      <c r="G54" s="128">
        <f t="shared" si="8"/>
        <v>92499993.18</v>
      </c>
      <c r="H54" s="128">
        <f t="shared" si="8"/>
        <v>97665136.2</v>
      </c>
      <c r="I54" s="128">
        <f t="shared" si="8"/>
        <v>89588409.92</v>
      </c>
      <c r="J54" s="128">
        <f t="shared" si="8"/>
        <v>92623875.52000001</v>
      </c>
      <c r="K54" s="128">
        <f t="shared" si="8"/>
        <v>122900011.67</v>
      </c>
      <c r="L54" s="128">
        <f t="shared" si="8"/>
        <v>111409543.57</v>
      </c>
      <c r="M54" s="128">
        <f t="shared" si="8"/>
        <v>91315040.71</v>
      </c>
      <c r="N54" s="128">
        <f t="shared" si="8"/>
        <v>1150485976.9999998</v>
      </c>
      <c r="O54" s="129">
        <f t="shared" si="8"/>
        <v>1047550500.31</v>
      </c>
    </row>
    <row r="55" spans="1:15" ht="12.75">
      <c r="A55" s="736" t="s">
        <v>1063</v>
      </c>
      <c r="B55" s="743"/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</row>
    <row r="56" spans="1:15" ht="12.75">
      <c r="A56" s="756" t="s">
        <v>1075</v>
      </c>
      <c r="B56" s="756"/>
      <c r="C56" s="756"/>
      <c r="D56" s="756"/>
      <c r="E56" s="756"/>
      <c r="F56" s="756"/>
      <c r="G56" s="756"/>
      <c r="H56" s="756"/>
      <c r="I56" s="756"/>
      <c r="J56" s="756"/>
      <c r="K56" s="756"/>
      <c r="L56" s="756"/>
      <c r="M56" s="756"/>
      <c r="N56" s="756"/>
      <c r="O56" s="756"/>
    </row>
    <row r="57" spans="1:15" ht="12.75">
      <c r="A57" s="756"/>
      <c r="B57" s="756"/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</row>
    <row r="58" spans="1:15" ht="12.75">
      <c r="A58" s="756" t="s">
        <v>1076</v>
      </c>
      <c r="B58" s="756"/>
      <c r="C58" s="75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756"/>
      <c r="O58" s="756"/>
    </row>
    <row r="59" spans="1:15" ht="12.75">
      <c r="A59" s="756"/>
      <c r="B59" s="756"/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</row>
    <row r="60" ht="12.75"/>
    <row r="61" spans="1:15" ht="12.75">
      <c r="A61" s="518" t="s">
        <v>1055</v>
      </c>
      <c r="B61" s="519"/>
      <c r="C61" s="519"/>
      <c r="D61" s="522"/>
      <c r="E61" s="522"/>
      <c r="F61" s="518" t="s">
        <v>1057</v>
      </c>
      <c r="G61" s="522"/>
      <c r="H61" s="518"/>
      <c r="I61" s="518"/>
      <c r="J61" s="522"/>
      <c r="K61" s="519"/>
      <c r="L61" s="518" t="s">
        <v>1059</v>
      </c>
      <c r="M61" s="522"/>
      <c r="N61" s="518"/>
      <c r="O61" s="518"/>
    </row>
    <row r="62" spans="1:15" ht="12.75">
      <c r="A62" s="518" t="s">
        <v>1056</v>
      </c>
      <c r="B62" s="519"/>
      <c r="C62" s="519"/>
      <c r="D62" s="522"/>
      <c r="E62" s="522"/>
      <c r="F62" s="518" t="s">
        <v>1058</v>
      </c>
      <c r="G62" s="522"/>
      <c r="H62" s="518"/>
      <c r="I62" s="518"/>
      <c r="J62" s="522"/>
      <c r="K62" s="519"/>
      <c r="L62" s="519" t="s">
        <v>1060</v>
      </c>
      <c r="M62" s="522"/>
      <c r="N62" s="519"/>
      <c r="O62" s="519"/>
    </row>
    <row r="63" spans="1:15" ht="12.75">
      <c r="A63" s="523"/>
      <c r="B63" s="523"/>
      <c r="C63" s="523"/>
      <c r="D63" s="522"/>
      <c r="E63" s="522"/>
      <c r="F63" s="518" t="s">
        <v>1073</v>
      </c>
      <c r="G63" s="522"/>
      <c r="H63" s="518"/>
      <c r="I63" s="518"/>
      <c r="J63" s="523"/>
      <c r="K63" s="523"/>
      <c r="L63" s="518" t="s">
        <v>1074</v>
      </c>
      <c r="M63" s="522"/>
      <c r="N63" s="518"/>
      <c r="O63" s="518"/>
    </row>
    <row r="64" spans="1:15" s="105" customFormat="1" ht="12.75" customHeight="1">
      <c r="A64" s="103"/>
      <c r="B64" s="103"/>
      <c r="C64" s="103"/>
      <c r="D64" s="103"/>
      <c r="E64" s="103"/>
      <c r="F64" s="103"/>
      <c r="G64" s="103"/>
      <c r="H64" s="110"/>
      <c r="I64" s="103"/>
      <c r="J64" s="103"/>
      <c r="K64" s="103"/>
      <c r="L64" s="103"/>
      <c r="M64" s="103"/>
      <c r="N64" s="103"/>
      <c r="O64" s="103"/>
    </row>
    <row r="65" ht="12.75"/>
    <row r="66" spans="1:15" s="110" customFormat="1" ht="12.75">
      <c r="A66" s="103"/>
      <c r="B66" s="103"/>
      <c r="C66" s="103"/>
      <c r="D66" s="103"/>
      <c r="E66" s="103"/>
      <c r="F66" s="103"/>
      <c r="G66" s="103"/>
      <c r="I66" s="103"/>
      <c r="J66" s="103"/>
      <c r="K66" s="103"/>
      <c r="L66" s="103"/>
      <c r="M66" s="103"/>
      <c r="N66" s="103"/>
      <c r="O66" s="103"/>
    </row>
    <row r="67" ht="12.75"/>
    <row r="68" ht="12.75"/>
    <row r="69" ht="12.75"/>
    <row r="70" ht="12.75"/>
    <row r="71" ht="12.75"/>
    <row r="72" ht="12.75"/>
  </sheetData>
  <sheetProtection/>
  <mergeCells count="7">
    <mergeCell ref="A56:O57"/>
    <mergeCell ref="A58:O59"/>
    <mergeCell ref="B19:M20"/>
    <mergeCell ref="A11:O11"/>
    <mergeCell ref="A14:O14"/>
    <mergeCell ref="A15:O15"/>
    <mergeCell ref="A55:O55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9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71.00390625" style="171" customWidth="1"/>
    <col min="2" max="9" width="18.00390625" style="171" customWidth="1"/>
    <col min="10" max="16384" width="9.140625" style="171" customWidth="1"/>
  </cols>
  <sheetData>
    <row r="1" ht="12.75"/>
    <row r="2" ht="25.5" customHeight="1">
      <c r="A2" s="498" t="s">
        <v>1050</v>
      </c>
    </row>
    <row r="3" ht="15.75" customHeight="1">
      <c r="A3" s="499" t="s">
        <v>1051</v>
      </c>
    </row>
    <row r="4" ht="15.75" customHeight="1">
      <c r="A4" s="499" t="s">
        <v>1052</v>
      </c>
    </row>
    <row r="5" ht="15.75" customHeight="1">
      <c r="A5" s="499" t="s">
        <v>1053</v>
      </c>
    </row>
    <row r="6" ht="15.75">
      <c r="A6" s="104" t="s">
        <v>676</v>
      </c>
    </row>
    <row r="7" ht="12.75">
      <c r="A7" s="105"/>
    </row>
    <row r="8" spans="1:6" ht="12.75">
      <c r="A8" s="484" t="s">
        <v>1050</v>
      </c>
      <c r="B8" s="106"/>
      <c r="C8" s="106"/>
      <c r="D8" s="106"/>
      <c r="E8" s="106"/>
      <c r="F8" s="106"/>
    </row>
    <row r="9" spans="1:6" ht="12.75">
      <c r="A9" s="106" t="s">
        <v>68</v>
      </c>
      <c r="B9" s="106"/>
      <c r="C9" s="106"/>
      <c r="D9" s="106"/>
      <c r="E9" s="106"/>
      <c r="F9" s="106"/>
    </row>
    <row r="10" spans="1:6" ht="12.75">
      <c r="A10" s="107" t="s">
        <v>646</v>
      </c>
      <c r="B10" s="107"/>
      <c r="C10" s="107"/>
      <c r="D10" s="107"/>
      <c r="E10" s="107"/>
      <c r="F10" s="107"/>
    </row>
    <row r="11" spans="1:6" ht="12.75">
      <c r="A11" s="745" t="s">
        <v>131</v>
      </c>
      <c r="B11" s="745"/>
      <c r="C11" s="745"/>
      <c r="D11" s="745"/>
      <c r="E11" s="745"/>
      <c r="F11" s="745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6" ht="12.75">
      <c r="A13" s="333" t="s">
        <v>1054</v>
      </c>
      <c r="B13" s="172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C13" s="103"/>
      <c r="D13" s="103"/>
      <c r="E13" s="103"/>
      <c r="F13" s="103"/>
    </row>
    <row r="14" spans="1:6" ht="12.75" customHeight="1" hidden="1">
      <c r="A14" s="745"/>
      <c r="B14" s="745"/>
      <c r="C14" s="745"/>
      <c r="D14" s="745"/>
      <c r="E14" s="745"/>
      <c r="F14" s="745"/>
    </row>
    <row r="15" spans="1:6" ht="12.75" customHeight="1" hidden="1">
      <c r="A15" s="745"/>
      <c r="B15" s="745"/>
      <c r="C15" s="745"/>
      <c r="D15" s="745"/>
      <c r="E15" s="745"/>
      <c r="F15" s="745"/>
    </row>
    <row r="16" spans="1:6" ht="12.75">
      <c r="A16" s="106"/>
      <c r="B16" s="106"/>
      <c r="C16" s="106"/>
      <c r="D16" s="106"/>
      <c r="E16" s="106"/>
      <c r="F16" s="106"/>
    </row>
    <row r="17" spans="1:6" ht="11.25" customHeight="1" hidden="1">
      <c r="A17" s="103"/>
      <c r="B17" s="103"/>
      <c r="C17" s="103"/>
      <c r="D17" s="103"/>
      <c r="E17" s="103"/>
      <c r="F17" s="103"/>
    </row>
    <row r="18" spans="1:5" ht="12.75" customHeight="1">
      <c r="A18" s="171" t="s">
        <v>335</v>
      </c>
      <c r="E18" s="111" t="s">
        <v>360</v>
      </c>
    </row>
    <row r="19" spans="1:6" ht="12.75" customHeight="1">
      <c r="A19" s="559"/>
      <c r="B19" s="734" t="s">
        <v>467</v>
      </c>
      <c r="C19" s="772" t="s">
        <v>197</v>
      </c>
      <c r="D19" s="768" t="s">
        <v>72</v>
      </c>
      <c r="E19" s="769"/>
      <c r="F19" s="180"/>
    </row>
    <row r="20" spans="1:6" ht="12.75" customHeight="1">
      <c r="A20" s="544" t="s">
        <v>652</v>
      </c>
      <c r="B20" s="735"/>
      <c r="C20" s="773"/>
      <c r="D20" s="537" t="str">
        <f>CONCATENATE("Até o ",B13)</f>
        <v>Até o Bimestre</v>
      </c>
      <c r="E20" s="526" t="str">
        <f>CONCATENATE("Até o  ",B13)</f>
        <v>Até o  Bimestre</v>
      </c>
      <c r="F20" s="180"/>
    </row>
    <row r="21" spans="1:6" ht="12.75" customHeight="1">
      <c r="A21" s="152"/>
      <c r="B21" s="740"/>
      <c r="C21" s="774"/>
      <c r="D21" s="558" t="s">
        <v>151</v>
      </c>
      <c r="E21" s="541" t="s">
        <v>152</v>
      </c>
      <c r="F21" s="180"/>
    </row>
    <row r="22" spans="1:6" ht="12.75">
      <c r="A22" s="110" t="s">
        <v>645</v>
      </c>
      <c r="B22" s="8">
        <f>B23+B32+B41+B45+B46</f>
        <v>0</v>
      </c>
      <c r="C22" s="8">
        <f>C23+C32+C41+C45+C46</f>
        <v>116280000</v>
      </c>
      <c r="D22" s="8">
        <f>D23+D32+D41+D45+D46</f>
        <v>10720931.77</v>
      </c>
      <c r="E22" s="9">
        <f>E23+E32+E41+E45+E46</f>
        <v>0</v>
      </c>
      <c r="F22" s="180"/>
    </row>
    <row r="23" spans="1:5" ht="12.75">
      <c r="A23" s="103" t="s">
        <v>87</v>
      </c>
      <c r="B23" s="8">
        <f>B24+B28</f>
        <v>0</v>
      </c>
      <c r="C23" s="8">
        <f>C24+C28</f>
        <v>101757000</v>
      </c>
      <c r="D23" s="8">
        <f>D24+D28</f>
        <v>7750785.539999999</v>
      </c>
      <c r="E23" s="5">
        <f>E24+E28</f>
        <v>0</v>
      </c>
    </row>
    <row r="24" spans="1:5" ht="12.75">
      <c r="A24" s="103" t="s">
        <v>283</v>
      </c>
      <c r="B24" s="8">
        <f>SUM(B25:B27)</f>
        <v>0</v>
      </c>
      <c r="C24" s="8">
        <f>SUM(C25:C27)</f>
        <v>40000000</v>
      </c>
      <c r="D24" s="8">
        <f>SUM(D25:D27)</f>
        <v>3137487.48</v>
      </c>
      <c r="E24" s="5">
        <f>SUM(E25:E27)</f>
        <v>0</v>
      </c>
    </row>
    <row r="25" spans="1:5" ht="12.75">
      <c r="A25" s="103" t="s">
        <v>88</v>
      </c>
      <c r="B25" s="8"/>
      <c r="C25" s="8">
        <v>38780000</v>
      </c>
      <c r="D25" s="5">
        <v>2863779.11</v>
      </c>
      <c r="E25" s="5"/>
    </row>
    <row r="26" spans="1:5" ht="12.75">
      <c r="A26" s="103" t="s">
        <v>89</v>
      </c>
      <c r="B26" s="8"/>
      <c r="C26" s="8">
        <v>1130000</v>
      </c>
      <c r="D26" s="5">
        <v>260950.66</v>
      </c>
      <c r="E26" s="5"/>
    </row>
    <row r="27" spans="1:5" ht="12.75">
      <c r="A27" s="103" t="s">
        <v>90</v>
      </c>
      <c r="B27" s="8"/>
      <c r="C27" s="8">
        <v>90000</v>
      </c>
      <c r="D27" s="5">
        <v>12757.71</v>
      </c>
      <c r="E27" s="5"/>
    </row>
    <row r="28" spans="1:5" ht="12.75">
      <c r="A28" s="103" t="s">
        <v>284</v>
      </c>
      <c r="B28" s="8">
        <f>SUM(B29:B31)</f>
        <v>0</v>
      </c>
      <c r="C28" s="8">
        <f>SUM(C29:C31)</f>
        <v>61757000</v>
      </c>
      <c r="D28" s="8">
        <f>SUM(D29:D31)</f>
        <v>4613298.06</v>
      </c>
      <c r="E28" s="5">
        <f>SUM(E29:E31)</f>
        <v>0</v>
      </c>
    </row>
    <row r="29" spans="1:5" ht="12.75">
      <c r="A29" s="103" t="s">
        <v>91</v>
      </c>
      <c r="B29" s="8"/>
      <c r="C29" s="8">
        <v>61757000</v>
      </c>
      <c r="D29" s="5">
        <v>4613298.06</v>
      </c>
      <c r="E29" s="5"/>
    </row>
    <row r="30" spans="1:5" ht="12.75">
      <c r="A30" s="103" t="s">
        <v>92</v>
      </c>
      <c r="B30" s="8"/>
      <c r="C30" s="8"/>
      <c r="D30" s="8"/>
      <c r="E30" s="5"/>
    </row>
    <row r="31" spans="1:5" ht="12.75">
      <c r="A31" s="103" t="s">
        <v>90</v>
      </c>
      <c r="B31" s="8"/>
      <c r="C31" s="8"/>
      <c r="D31" s="8"/>
      <c r="E31" s="5"/>
    </row>
    <row r="32" spans="1:5" ht="12.75">
      <c r="A32" s="103" t="s">
        <v>644</v>
      </c>
      <c r="B32" s="8">
        <f>B33+B37</f>
        <v>0</v>
      </c>
      <c r="C32" s="8">
        <f>C33+C37</f>
        <v>0</v>
      </c>
      <c r="D32" s="8">
        <f>D33+D37</f>
        <v>0</v>
      </c>
      <c r="E32" s="5">
        <f>E33+E37</f>
        <v>0</v>
      </c>
    </row>
    <row r="33" spans="1:5" ht="12.75">
      <c r="A33" s="103" t="s">
        <v>283</v>
      </c>
      <c r="B33" s="8">
        <f>SUM(B34:B36)</f>
        <v>0</v>
      </c>
      <c r="C33" s="8">
        <f>SUM(C34:C36)</f>
        <v>0</v>
      </c>
      <c r="D33" s="8">
        <f>SUM(D34:D36)</f>
        <v>0</v>
      </c>
      <c r="E33" s="5">
        <f>SUM(E34:E36)</f>
        <v>0</v>
      </c>
    </row>
    <row r="34" spans="1:5" ht="12.75">
      <c r="A34" s="103" t="s">
        <v>88</v>
      </c>
      <c r="B34" s="8"/>
      <c r="C34" s="8"/>
      <c r="D34" s="8"/>
      <c r="E34" s="5"/>
    </row>
    <row r="35" spans="1:5" ht="12.75">
      <c r="A35" s="103" t="s">
        <v>89</v>
      </c>
      <c r="B35" s="8"/>
      <c r="C35" s="8"/>
      <c r="D35" s="8"/>
      <c r="E35" s="5"/>
    </row>
    <row r="36" spans="1:5" ht="12.75">
      <c r="A36" s="103" t="s">
        <v>90</v>
      </c>
      <c r="B36" s="8"/>
      <c r="C36" s="8"/>
      <c r="D36" s="8"/>
      <c r="E36" s="5"/>
    </row>
    <row r="37" spans="1:5" ht="12.75">
      <c r="A37" s="103" t="s">
        <v>284</v>
      </c>
      <c r="B37" s="8">
        <f>SUM(B38:B40)</f>
        <v>0</v>
      </c>
      <c r="C37" s="8">
        <f>SUM(C38:C40)</f>
        <v>0</v>
      </c>
      <c r="D37" s="8">
        <f>SUM(D38:D40)</f>
        <v>0</v>
      </c>
      <c r="E37" s="5">
        <f>SUM(E38:E40)</f>
        <v>0</v>
      </c>
    </row>
    <row r="38" spans="1:5" ht="12.75">
      <c r="A38" s="103" t="s">
        <v>91</v>
      </c>
      <c r="B38" s="8"/>
      <c r="C38" s="8"/>
      <c r="D38" s="8"/>
      <c r="E38" s="5"/>
    </row>
    <row r="39" spans="1:5" ht="12.75">
      <c r="A39" s="103" t="s">
        <v>92</v>
      </c>
      <c r="B39" s="8"/>
      <c r="C39" s="8"/>
      <c r="D39" s="8"/>
      <c r="E39" s="5"/>
    </row>
    <row r="40" spans="1:5" ht="12.75">
      <c r="A40" s="103" t="s">
        <v>90</v>
      </c>
      <c r="B40" s="8"/>
      <c r="C40" s="8"/>
      <c r="D40" s="8"/>
      <c r="E40" s="5"/>
    </row>
    <row r="41" spans="1:5" ht="12.75">
      <c r="A41" s="103" t="s">
        <v>310</v>
      </c>
      <c r="B41" s="8">
        <f>SUM(B42:B44)</f>
        <v>0</v>
      </c>
      <c r="C41" s="8">
        <f>SUM(C42:C44)</f>
        <v>11509000</v>
      </c>
      <c r="D41" s="8">
        <f>SUM(D42:D44)</f>
        <v>2786607.57</v>
      </c>
      <c r="E41" s="5">
        <f>SUM(E42:E44)</f>
        <v>0</v>
      </c>
    </row>
    <row r="42" spans="1:5" ht="12.75">
      <c r="A42" s="103" t="s">
        <v>13</v>
      </c>
      <c r="B42" s="8"/>
      <c r="C42" s="8"/>
      <c r="D42" s="8"/>
      <c r="E42" s="5"/>
    </row>
    <row r="43" spans="1:5" ht="12.75">
      <c r="A43" s="103" t="s">
        <v>14</v>
      </c>
      <c r="B43" s="8"/>
      <c r="C43" s="8">
        <v>11509000</v>
      </c>
      <c r="D43" s="5">
        <v>2786607.57</v>
      </c>
      <c r="E43" s="5"/>
    </row>
    <row r="44" spans="1:5" ht="12.75">
      <c r="A44" s="103" t="s">
        <v>15</v>
      </c>
      <c r="B44" s="8"/>
      <c r="C44" s="8"/>
      <c r="D44" s="8"/>
      <c r="E44" s="5"/>
    </row>
    <row r="45" spans="1:5" ht="12.75">
      <c r="A45" s="103" t="s">
        <v>185</v>
      </c>
      <c r="B45" s="8"/>
      <c r="C45" s="8"/>
      <c r="D45" s="8"/>
      <c r="E45" s="5"/>
    </row>
    <row r="46" spans="1:5" ht="12.75">
      <c r="A46" s="103" t="s">
        <v>285</v>
      </c>
      <c r="B46" s="8">
        <f>SUM(B47:B49)</f>
        <v>0</v>
      </c>
      <c r="C46" s="8">
        <f>SUM(C47:C49)</f>
        <v>3014000</v>
      </c>
      <c r="D46" s="8">
        <f>SUM(D47:D49)</f>
        <v>183538.66</v>
      </c>
      <c r="E46" s="5">
        <f>SUM(E47:E49)</f>
        <v>0</v>
      </c>
    </row>
    <row r="47" spans="1:5" ht="12.75">
      <c r="A47" s="103" t="s">
        <v>186</v>
      </c>
      <c r="B47" s="8"/>
      <c r="C47" s="8">
        <v>3000000</v>
      </c>
      <c r="D47" s="5">
        <v>181742.95</v>
      </c>
      <c r="E47" s="5"/>
    </row>
    <row r="48" spans="1:5" ht="12.75">
      <c r="A48" s="103" t="s">
        <v>853</v>
      </c>
      <c r="B48" s="8"/>
      <c r="C48" s="8"/>
      <c r="D48" s="8"/>
      <c r="E48" s="5"/>
    </row>
    <row r="49" spans="1:5" ht="12.75">
      <c r="A49" s="103" t="s">
        <v>93</v>
      </c>
      <c r="B49" s="8"/>
      <c r="C49" s="8">
        <v>14000</v>
      </c>
      <c r="D49" s="5">
        <v>1795.71</v>
      </c>
      <c r="E49" s="5"/>
    </row>
    <row r="50" spans="1:5" ht="12.75">
      <c r="A50" s="103" t="s">
        <v>854</v>
      </c>
      <c r="B50" s="8">
        <f>SUM(B51:B53)</f>
        <v>0</v>
      </c>
      <c r="C50" s="8">
        <f>SUM(C51:C53)</f>
        <v>0</v>
      </c>
      <c r="D50" s="8">
        <f>SUM(D51:D53)</f>
        <v>0</v>
      </c>
      <c r="E50" s="5">
        <f>SUM(E51:E53)</f>
        <v>0</v>
      </c>
    </row>
    <row r="51" spans="1:5" ht="12.75">
      <c r="A51" s="103" t="s">
        <v>85</v>
      </c>
      <c r="B51" s="8"/>
      <c r="C51" s="8"/>
      <c r="D51" s="8"/>
      <c r="E51" s="5"/>
    </row>
    <row r="52" spans="1:5" ht="12.75">
      <c r="A52" s="103" t="s">
        <v>187</v>
      </c>
      <c r="B52" s="8"/>
      <c r="C52" s="8"/>
      <c r="D52" s="8"/>
      <c r="E52" s="5"/>
    </row>
    <row r="53" spans="1:5" ht="12.75">
      <c r="A53" s="103" t="s">
        <v>286</v>
      </c>
      <c r="B53" s="8"/>
      <c r="C53" s="8"/>
      <c r="D53" s="8"/>
      <c r="E53" s="5"/>
    </row>
    <row r="54" spans="1:5" ht="12.75">
      <c r="A54" s="560" t="s">
        <v>855</v>
      </c>
      <c r="B54" s="13">
        <f>B22+B50-B48</f>
        <v>0</v>
      </c>
      <c r="C54" s="13">
        <f>C22+C50-C48</f>
        <v>116280000</v>
      </c>
      <c r="D54" s="13">
        <f>D22+D50-D48</f>
        <v>10720931.77</v>
      </c>
      <c r="E54" s="14">
        <f>E22+E50-E48</f>
        <v>0</v>
      </c>
    </row>
    <row r="55" spans="1:5" ht="15" customHeight="1" hidden="1">
      <c r="A55" s="181"/>
      <c r="B55" s="181"/>
      <c r="C55" s="182"/>
      <c r="D55" s="182"/>
      <c r="E55" s="182"/>
    </row>
    <row r="56" spans="1:5" ht="12.75" customHeight="1" hidden="1">
      <c r="A56" s="181"/>
      <c r="B56" s="181"/>
      <c r="C56" s="182"/>
      <c r="D56" s="182"/>
      <c r="E56" s="182"/>
    </row>
    <row r="57" spans="1:5" ht="12.75" customHeight="1" hidden="1">
      <c r="A57" s="181"/>
      <c r="B57" s="181"/>
      <c r="C57" s="182"/>
      <c r="D57" s="182"/>
      <c r="E57" s="182"/>
    </row>
    <row r="58" spans="1:5" ht="12.75" customHeight="1" hidden="1">
      <c r="A58" s="181"/>
      <c r="B58" s="181"/>
      <c r="C58" s="182"/>
      <c r="D58" s="182"/>
      <c r="E58" s="182"/>
    </row>
    <row r="59" spans="1:5" ht="12.75" customHeight="1" hidden="1">
      <c r="A59" s="181"/>
      <c r="B59" s="181"/>
      <c r="C59" s="182"/>
      <c r="D59" s="182"/>
      <c r="E59" s="182"/>
    </row>
    <row r="60" spans="2:6" ht="12.75" customHeight="1">
      <c r="B60" s="103"/>
      <c r="C60" s="103"/>
      <c r="D60" s="103"/>
      <c r="E60" s="103"/>
      <c r="F60" s="110"/>
    </row>
    <row r="61" spans="2:6" ht="12.75" customHeight="1">
      <c r="B61" s="103"/>
      <c r="C61" s="103"/>
      <c r="D61" s="103"/>
      <c r="E61" s="103"/>
      <c r="F61" s="110"/>
    </row>
    <row r="62" spans="2:6" ht="12.75" customHeight="1">
      <c r="B62" s="103"/>
      <c r="C62" s="103"/>
      <c r="D62" s="103"/>
      <c r="E62" s="103"/>
      <c r="F62" s="110"/>
    </row>
    <row r="63" spans="1:9" ht="27.75" customHeight="1">
      <c r="A63" s="760" t="s">
        <v>653</v>
      </c>
      <c r="B63" s="734" t="s">
        <v>557</v>
      </c>
      <c r="C63" s="734" t="s">
        <v>198</v>
      </c>
      <c r="D63" s="768" t="s">
        <v>104</v>
      </c>
      <c r="E63" s="769"/>
      <c r="F63" s="768" t="s">
        <v>105</v>
      </c>
      <c r="G63" s="769"/>
      <c r="H63" s="768" t="s">
        <v>320</v>
      </c>
      <c r="I63" s="769"/>
    </row>
    <row r="64" spans="1:9" ht="17.25" customHeight="1">
      <c r="A64" s="761"/>
      <c r="B64" s="735"/>
      <c r="C64" s="770"/>
      <c r="D64" s="537" t="str">
        <f>E20</f>
        <v>Até o  Bimestre</v>
      </c>
      <c r="E64" s="537" t="str">
        <f>E20</f>
        <v>Até o  Bimestre</v>
      </c>
      <c r="F64" s="537" t="str">
        <f>E20</f>
        <v>Até o  Bimestre</v>
      </c>
      <c r="G64" s="537" t="str">
        <f>E20</f>
        <v>Até o  Bimestre</v>
      </c>
      <c r="H64" s="526" t="s">
        <v>625</v>
      </c>
      <c r="I64" s="526" t="s">
        <v>624</v>
      </c>
    </row>
    <row r="65" spans="1:9" ht="25.5">
      <c r="A65" s="762"/>
      <c r="B65" s="740"/>
      <c r="C65" s="771"/>
      <c r="D65" s="558" t="s">
        <v>151</v>
      </c>
      <c r="E65" s="558" t="s">
        <v>152</v>
      </c>
      <c r="F65" s="558" t="s">
        <v>151</v>
      </c>
      <c r="G65" s="558" t="s">
        <v>152</v>
      </c>
      <c r="H65" s="541" t="s">
        <v>626</v>
      </c>
      <c r="I65" s="541" t="s">
        <v>152</v>
      </c>
    </row>
    <row r="66" spans="1:9" ht="12.75">
      <c r="A66" s="183" t="s">
        <v>648</v>
      </c>
      <c r="B66" s="17">
        <f aca="true" t="shared" si="0" ref="B66:I66">SUM(B67:B69)</f>
        <v>0</v>
      </c>
      <c r="C66" s="17">
        <f t="shared" si="0"/>
        <v>90160000</v>
      </c>
      <c r="D66" s="17">
        <f t="shared" si="0"/>
        <v>12363685.75</v>
      </c>
      <c r="E66" s="17">
        <f t="shared" si="0"/>
        <v>0</v>
      </c>
      <c r="F66" s="17">
        <f t="shared" si="0"/>
        <v>12363685.75</v>
      </c>
      <c r="G66" s="17">
        <f t="shared" si="0"/>
        <v>0</v>
      </c>
      <c r="H66" s="17">
        <f t="shared" si="0"/>
        <v>0</v>
      </c>
      <c r="I66" s="18">
        <f t="shared" si="0"/>
        <v>0</v>
      </c>
    </row>
    <row r="67" spans="1:9" ht="12.75">
      <c r="A67" s="183" t="s">
        <v>287</v>
      </c>
      <c r="B67" s="17"/>
      <c r="C67" s="17">
        <v>79160000</v>
      </c>
      <c r="D67" s="17">
        <v>11047064.93</v>
      </c>
      <c r="E67" s="17"/>
      <c r="F67" s="17">
        <v>11047064.93</v>
      </c>
      <c r="G67" s="17"/>
      <c r="H67" s="17"/>
      <c r="I67" s="21"/>
    </row>
    <row r="68" spans="1:9" ht="12.75">
      <c r="A68" s="183" t="s">
        <v>288</v>
      </c>
      <c r="B68" s="17"/>
      <c r="C68" s="17">
        <v>11000000</v>
      </c>
      <c r="D68" s="17">
        <v>1316620.82</v>
      </c>
      <c r="E68" s="17"/>
      <c r="F68" s="17">
        <v>1316620.82</v>
      </c>
      <c r="G68" s="17"/>
      <c r="H68" s="17"/>
      <c r="I68" s="21"/>
    </row>
    <row r="69" spans="1:9" ht="12.75">
      <c r="A69" s="183" t="s">
        <v>289</v>
      </c>
      <c r="B69" s="17"/>
      <c r="C69" s="17"/>
      <c r="D69" s="17"/>
      <c r="E69" s="17"/>
      <c r="F69" s="17"/>
      <c r="G69" s="17"/>
      <c r="H69" s="17"/>
      <c r="I69" s="21"/>
    </row>
    <row r="70" spans="1:9" ht="12.75">
      <c r="A70" s="183" t="s">
        <v>649</v>
      </c>
      <c r="B70" s="17">
        <f aca="true" t="shared" si="1" ref="B70:I70">SUM(B71:B73)</f>
        <v>0</v>
      </c>
      <c r="C70" s="17">
        <f t="shared" si="1"/>
        <v>0</v>
      </c>
      <c r="D70" s="17">
        <f t="shared" si="1"/>
        <v>0</v>
      </c>
      <c r="E70" s="17">
        <f t="shared" si="1"/>
        <v>0</v>
      </c>
      <c r="F70" s="17">
        <f t="shared" si="1"/>
        <v>0</v>
      </c>
      <c r="G70" s="17">
        <f t="shared" si="1"/>
        <v>0</v>
      </c>
      <c r="H70" s="17">
        <f t="shared" si="1"/>
        <v>0</v>
      </c>
      <c r="I70" s="21">
        <f t="shared" si="1"/>
        <v>0</v>
      </c>
    </row>
    <row r="71" spans="1:9" ht="12.75">
      <c r="A71" s="183" t="s">
        <v>290</v>
      </c>
      <c r="B71" s="17"/>
      <c r="C71" s="17"/>
      <c r="D71" s="17"/>
      <c r="E71" s="17"/>
      <c r="F71" s="17"/>
      <c r="G71" s="17"/>
      <c r="H71" s="17"/>
      <c r="I71" s="21"/>
    </row>
    <row r="72" spans="1:9" ht="12.75">
      <c r="A72" s="183" t="s">
        <v>288</v>
      </c>
      <c r="B72" s="17"/>
      <c r="C72" s="17"/>
      <c r="D72" s="17"/>
      <c r="E72" s="17"/>
      <c r="F72" s="17"/>
      <c r="G72" s="17"/>
      <c r="H72" s="17"/>
      <c r="I72" s="21"/>
    </row>
    <row r="73" spans="1:9" ht="12.75">
      <c r="A73" s="183" t="s">
        <v>289</v>
      </c>
      <c r="B73" s="17"/>
      <c r="C73" s="17"/>
      <c r="D73" s="17"/>
      <c r="E73" s="17"/>
      <c r="F73" s="17"/>
      <c r="G73" s="17"/>
      <c r="H73" s="17"/>
      <c r="I73" s="21"/>
    </row>
    <row r="74" spans="1:9" ht="12.75">
      <c r="A74" s="183" t="s">
        <v>291</v>
      </c>
      <c r="B74" s="17">
        <f aca="true" t="shared" si="2" ref="B74:I74">SUM(B75:B76)</f>
        <v>0</v>
      </c>
      <c r="C74" s="17">
        <f t="shared" si="2"/>
        <v>5710000</v>
      </c>
      <c r="D74" s="17">
        <f t="shared" si="2"/>
        <v>940171.12</v>
      </c>
      <c r="E74" s="17">
        <f t="shared" si="2"/>
        <v>0</v>
      </c>
      <c r="F74" s="17">
        <f t="shared" si="2"/>
        <v>586870.89</v>
      </c>
      <c r="G74" s="17">
        <f t="shared" si="2"/>
        <v>0</v>
      </c>
      <c r="H74" s="17">
        <f t="shared" si="2"/>
        <v>0</v>
      </c>
      <c r="I74" s="21">
        <f t="shared" si="2"/>
        <v>0</v>
      </c>
    </row>
    <row r="75" spans="1:9" ht="12.75">
      <c r="A75" s="183" t="s">
        <v>188</v>
      </c>
      <c r="B75" s="17"/>
      <c r="C75" s="17"/>
      <c r="D75" s="17"/>
      <c r="E75" s="17"/>
      <c r="F75" s="17"/>
      <c r="G75" s="17"/>
      <c r="H75" s="17"/>
      <c r="I75" s="21"/>
    </row>
    <row r="76" spans="1:9" ht="12.75">
      <c r="A76" s="183" t="s">
        <v>37</v>
      </c>
      <c r="B76" s="17"/>
      <c r="C76" s="17">
        <v>5710000</v>
      </c>
      <c r="D76" s="17">
        <v>940171.12</v>
      </c>
      <c r="E76" s="17"/>
      <c r="F76" s="17">
        <v>586870.89</v>
      </c>
      <c r="G76" s="17"/>
      <c r="H76" s="17"/>
      <c r="I76" s="77"/>
    </row>
    <row r="77" spans="1:9" ht="12.75">
      <c r="A77" s="555" t="s">
        <v>902</v>
      </c>
      <c r="B77" s="82">
        <f aca="true" t="shared" si="3" ref="B77:I77">B66+B70+B74</f>
        <v>0</v>
      </c>
      <c r="C77" s="82">
        <f t="shared" si="3"/>
        <v>95870000</v>
      </c>
      <c r="D77" s="82">
        <f t="shared" si="3"/>
        <v>13303856.87</v>
      </c>
      <c r="E77" s="82">
        <f t="shared" si="3"/>
        <v>0</v>
      </c>
      <c r="F77" s="82">
        <f t="shared" si="3"/>
        <v>12950556.64</v>
      </c>
      <c r="G77" s="82">
        <f t="shared" si="3"/>
        <v>0</v>
      </c>
      <c r="H77" s="82">
        <f t="shared" si="3"/>
        <v>0</v>
      </c>
      <c r="I77" s="29">
        <f t="shared" si="3"/>
        <v>0</v>
      </c>
    </row>
    <row r="78" spans="1:11" ht="12.75">
      <c r="A78" s="556" t="s">
        <v>903</v>
      </c>
      <c r="B78" s="82">
        <f>B54-B77</f>
        <v>0</v>
      </c>
      <c r="C78" s="82">
        <f>C54-C77</f>
        <v>20410000</v>
      </c>
      <c r="D78" s="82">
        <f>D54-D77</f>
        <v>-2582925.0999999996</v>
      </c>
      <c r="E78" s="82">
        <f>E54-E77</f>
        <v>0</v>
      </c>
      <c r="F78" s="82">
        <f>D54-F77</f>
        <v>-2229624.870000001</v>
      </c>
      <c r="G78" s="82">
        <f>E54-G77</f>
        <v>0</v>
      </c>
      <c r="H78" s="184"/>
      <c r="I78" s="184"/>
      <c r="J78" s="185"/>
      <c r="K78" s="185"/>
    </row>
    <row r="79" spans="3:9" ht="12.75" customHeight="1" hidden="1">
      <c r="C79" s="185"/>
      <c r="D79" s="185"/>
      <c r="E79" s="185"/>
      <c r="F79" s="185"/>
      <c r="G79" s="185"/>
      <c r="H79" s="185"/>
      <c r="I79" s="185"/>
    </row>
    <row r="80" spans="3:9" ht="12.75" customHeight="1" hidden="1">
      <c r="C80" s="185"/>
      <c r="D80" s="185"/>
      <c r="E80" s="185"/>
      <c r="F80" s="185"/>
      <c r="G80" s="185"/>
      <c r="H80" s="185"/>
      <c r="I80" s="185"/>
    </row>
    <row r="81" spans="3:9" ht="12.75" customHeight="1" hidden="1">
      <c r="C81" s="185"/>
      <c r="D81" s="185"/>
      <c r="E81" s="185"/>
      <c r="F81" s="185"/>
      <c r="G81" s="185"/>
      <c r="H81" s="185"/>
      <c r="I81" s="185"/>
    </row>
    <row r="82" spans="3:9" ht="12.75" customHeight="1" hidden="1">
      <c r="C82" s="185"/>
      <c r="D82" s="185"/>
      <c r="E82" s="185"/>
      <c r="F82" s="185"/>
      <c r="G82" s="185"/>
      <c r="H82" s="185"/>
      <c r="I82" s="185"/>
    </row>
    <row r="83" spans="3:9" ht="12.75" customHeight="1" hidden="1">
      <c r="C83" s="185"/>
      <c r="D83" s="185"/>
      <c r="E83" s="185"/>
      <c r="F83" s="185"/>
      <c r="G83" s="185"/>
      <c r="H83" s="185"/>
      <c r="I83" s="185"/>
    </row>
    <row r="84" spans="3:9" ht="12.75" customHeight="1" hidden="1">
      <c r="C84" s="185"/>
      <c r="D84" s="185"/>
      <c r="E84" s="185"/>
      <c r="F84" s="185"/>
      <c r="G84" s="185"/>
      <c r="H84" s="185"/>
      <c r="I84" s="185"/>
    </row>
    <row r="85" spans="3:9" ht="12.75">
      <c r="C85" s="185"/>
      <c r="D85" s="185"/>
      <c r="E85" s="185"/>
      <c r="F85" s="185"/>
      <c r="G85" s="185"/>
      <c r="H85" s="185"/>
      <c r="I85" s="185"/>
    </row>
    <row r="86" spans="1:9" ht="25.5">
      <c r="A86" s="564" t="s">
        <v>654</v>
      </c>
      <c r="B86" s="563" t="s">
        <v>86</v>
      </c>
      <c r="C86" s="185"/>
      <c r="D86" s="185"/>
      <c r="E86" s="185"/>
      <c r="F86" s="185"/>
      <c r="G86" s="185"/>
      <c r="H86" s="185"/>
      <c r="I86" s="185"/>
    </row>
    <row r="87" spans="1:9" ht="12.75">
      <c r="A87" s="186" t="s">
        <v>651</v>
      </c>
      <c r="B87" s="29"/>
      <c r="C87" s="185"/>
      <c r="D87" s="185"/>
      <c r="E87" s="185"/>
      <c r="F87" s="185"/>
      <c r="G87" s="185"/>
      <c r="H87" s="185"/>
      <c r="I87" s="185"/>
    </row>
    <row r="88" spans="3:9" ht="12.75">
      <c r="C88" s="185"/>
      <c r="D88" s="185"/>
      <c r="E88" s="185"/>
      <c r="F88" s="185"/>
      <c r="G88" s="185"/>
      <c r="H88" s="185"/>
      <c r="I88" s="185"/>
    </row>
    <row r="89" spans="3:9" ht="12.75" customHeight="1" hidden="1">
      <c r="C89" s="185"/>
      <c r="D89" s="185"/>
      <c r="E89" s="185"/>
      <c r="F89" s="185"/>
      <c r="G89" s="185"/>
      <c r="H89" s="185"/>
      <c r="I89" s="185"/>
    </row>
    <row r="90" spans="3:9" ht="12.75" customHeight="1" hidden="1">
      <c r="C90" s="185"/>
      <c r="D90" s="185"/>
      <c r="E90" s="185"/>
      <c r="F90" s="185"/>
      <c r="G90" s="185"/>
      <c r="H90" s="185"/>
      <c r="I90" s="185"/>
    </row>
    <row r="91" spans="3:9" ht="12.75" customHeight="1" hidden="1">
      <c r="C91" s="185"/>
      <c r="D91" s="185"/>
      <c r="E91" s="185"/>
      <c r="F91" s="185"/>
      <c r="G91" s="185"/>
      <c r="H91" s="185"/>
      <c r="I91" s="185"/>
    </row>
    <row r="92" spans="3:9" ht="12.75" customHeight="1" hidden="1">
      <c r="C92" s="185"/>
      <c r="D92" s="185"/>
      <c r="E92" s="185"/>
      <c r="F92" s="185"/>
      <c r="G92" s="185"/>
      <c r="H92" s="185"/>
      <c r="I92" s="185"/>
    </row>
    <row r="93" spans="3:9" ht="12.75" customHeight="1" hidden="1">
      <c r="C93" s="185"/>
      <c r="D93" s="185"/>
      <c r="E93" s="185"/>
      <c r="F93" s="185"/>
      <c r="G93" s="185"/>
      <c r="H93" s="185"/>
      <c r="I93" s="185"/>
    </row>
    <row r="94" spans="3:9" ht="12.75" customHeight="1" hidden="1">
      <c r="C94" s="185"/>
      <c r="D94" s="185"/>
      <c r="E94" s="185"/>
      <c r="F94" s="185"/>
      <c r="G94" s="185"/>
      <c r="H94" s="185"/>
      <c r="I94" s="185"/>
    </row>
    <row r="95" spans="1:9" ht="25.5">
      <c r="A95" s="562" t="s">
        <v>655</v>
      </c>
      <c r="B95" s="563" t="s">
        <v>86</v>
      </c>
      <c r="C95" s="185"/>
      <c r="D95" s="185"/>
      <c r="E95" s="185"/>
      <c r="F95" s="185"/>
      <c r="G95" s="185"/>
      <c r="H95" s="185"/>
      <c r="I95" s="185"/>
    </row>
    <row r="96" spans="1:9" ht="12.75">
      <c r="A96" s="186" t="s">
        <v>651</v>
      </c>
      <c r="B96" s="187">
        <v>25470000</v>
      </c>
      <c r="C96" s="185"/>
      <c r="D96" s="185"/>
      <c r="E96" s="185"/>
      <c r="F96" s="185"/>
      <c r="G96" s="185"/>
      <c r="H96" s="185"/>
      <c r="I96" s="185"/>
    </row>
    <row r="97" spans="3:9" ht="12.75" customHeight="1" hidden="1">
      <c r="C97" s="185"/>
      <c r="D97" s="185"/>
      <c r="E97" s="185"/>
      <c r="F97" s="185"/>
      <c r="G97" s="185"/>
      <c r="H97" s="185"/>
      <c r="I97" s="185"/>
    </row>
    <row r="98" spans="3:9" ht="12.75" customHeight="1" hidden="1">
      <c r="C98" s="185"/>
      <c r="D98" s="185"/>
      <c r="E98" s="185"/>
      <c r="F98" s="185"/>
      <c r="G98" s="185"/>
      <c r="H98" s="185"/>
      <c r="I98" s="185"/>
    </row>
    <row r="99" spans="3:9" ht="12.75" customHeight="1" hidden="1">
      <c r="C99" s="185"/>
      <c r="D99" s="185"/>
      <c r="E99" s="185"/>
      <c r="F99" s="185"/>
      <c r="G99" s="185"/>
      <c r="H99" s="185"/>
      <c r="I99" s="185"/>
    </row>
    <row r="100" spans="3:9" ht="12.75" customHeight="1" hidden="1">
      <c r="C100" s="185"/>
      <c r="D100" s="185"/>
      <c r="E100" s="185"/>
      <c r="F100" s="185"/>
      <c r="G100" s="185"/>
      <c r="H100" s="185"/>
      <c r="I100" s="185"/>
    </row>
    <row r="101" spans="1:6" ht="12.75">
      <c r="A101" s="173"/>
      <c r="B101" s="188"/>
      <c r="C101" s="110"/>
      <c r="D101" s="110"/>
      <c r="E101" s="110"/>
      <c r="F101" s="110"/>
    </row>
    <row r="102" spans="1:9" ht="12.75" customHeight="1">
      <c r="A102" s="763" t="s">
        <v>660</v>
      </c>
      <c r="B102" s="734" t="s">
        <v>478</v>
      </c>
      <c r="C102" s="189"/>
      <c r="D102" s="173"/>
      <c r="E102" s="173"/>
      <c r="F102" s="173"/>
      <c r="G102" s="173"/>
      <c r="H102" s="173"/>
      <c r="I102" s="173"/>
    </row>
    <row r="103" spans="1:9" ht="12.75">
      <c r="A103" s="764"/>
      <c r="B103" s="735"/>
      <c r="C103" s="189"/>
      <c r="D103" s="173"/>
      <c r="E103" s="173"/>
      <c r="F103" s="173"/>
      <c r="G103" s="173"/>
      <c r="H103" s="173"/>
      <c r="I103" s="173"/>
    </row>
    <row r="104" spans="1:9" ht="12.75">
      <c r="A104" s="765"/>
      <c r="B104" s="740"/>
      <c r="C104" s="189"/>
      <c r="D104" s="173"/>
      <c r="E104" s="173"/>
      <c r="F104" s="173"/>
      <c r="G104" s="173"/>
      <c r="H104" s="173"/>
      <c r="I104" s="173"/>
    </row>
    <row r="105" spans="1:9" ht="12.75">
      <c r="A105" s="190" t="s">
        <v>656</v>
      </c>
      <c r="B105" s="191"/>
      <c r="C105" s="189"/>
      <c r="D105" s="173"/>
      <c r="E105" s="173"/>
      <c r="F105" s="173"/>
      <c r="G105" s="173"/>
      <c r="H105" s="173"/>
      <c r="I105" s="173"/>
    </row>
    <row r="106" spans="1:9" ht="12.75">
      <c r="A106" s="190" t="s">
        <v>657</v>
      </c>
      <c r="B106" s="191"/>
      <c r="C106" s="189"/>
      <c r="D106" s="173"/>
      <c r="E106" s="173"/>
      <c r="F106" s="173"/>
      <c r="G106" s="173"/>
      <c r="H106" s="173"/>
      <c r="I106" s="173"/>
    </row>
    <row r="107" spans="1:9" ht="12.75">
      <c r="A107" s="190" t="s">
        <v>658</v>
      </c>
      <c r="B107" s="191"/>
      <c r="C107" s="189"/>
      <c r="D107" s="173"/>
      <c r="E107" s="173"/>
      <c r="F107" s="173"/>
      <c r="G107" s="173"/>
      <c r="H107" s="173"/>
      <c r="I107" s="173"/>
    </row>
    <row r="108" spans="1:9" ht="12.75">
      <c r="A108" s="192" t="s">
        <v>659</v>
      </c>
      <c r="B108" s="193"/>
      <c r="C108" s="189"/>
      <c r="D108" s="173"/>
      <c r="E108" s="173"/>
      <c r="F108" s="173"/>
      <c r="G108" s="173"/>
      <c r="H108" s="173"/>
      <c r="I108" s="173"/>
    </row>
    <row r="109" spans="1:3" ht="12.75">
      <c r="A109" s="194"/>
      <c r="B109" s="195"/>
      <c r="C109" s="173"/>
    </row>
    <row r="110" spans="1:3" ht="12.75" customHeight="1" hidden="1">
      <c r="A110" s="194"/>
      <c r="B110" s="195"/>
      <c r="C110" s="173"/>
    </row>
    <row r="111" spans="1:3" ht="12.75" customHeight="1" hidden="1">
      <c r="A111" s="194"/>
      <c r="B111" s="195"/>
      <c r="C111" s="173"/>
    </row>
    <row r="112" spans="1:3" ht="12.75" customHeight="1" hidden="1">
      <c r="A112" s="194"/>
      <c r="B112" s="195"/>
      <c r="C112" s="173"/>
    </row>
    <row r="113" spans="1:3" ht="12.75" customHeight="1" hidden="1">
      <c r="A113" s="194"/>
      <c r="B113" s="195"/>
      <c r="C113" s="173"/>
    </row>
    <row r="114" spans="1:3" ht="12.75" customHeight="1" hidden="1">
      <c r="A114" s="194"/>
      <c r="B114" s="195"/>
      <c r="C114" s="173"/>
    </row>
    <row r="115" spans="1:7" ht="12.75" customHeight="1" hidden="1">
      <c r="A115" s="196"/>
      <c r="B115" s="196"/>
      <c r="C115" s="196"/>
      <c r="D115" s="196"/>
      <c r="E115" s="196"/>
      <c r="F115" s="196"/>
      <c r="G115" s="173"/>
    </row>
    <row r="116" spans="1:4" ht="12.75" customHeight="1">
      <c r="A116" s="766" t="s">
        <v>661</v>
      </c>
      <c r="B116" s="768" t="s">
        <v>156</v>
      </c>
      <c r="C116" s="769"/>
      <c r="D116" s="189"/>
    </row>
    <row r="117" spans="1:4" ht="12.75" customHeight="1">
      <c r="A117" s="767"/>
      <c r="B117" s="557" t="s">
        <v>151</v>
      </c>
      <c r="C117" s="557" t="s">
        <v>152</v>
      </c>
      <c r="D117" s="189"/>
    </row>
    <row r="118" spans="1:4" ht="12.75">
      <c r="A118" s="197" t="s">
        <v>664</v>
      </c>
      <c r="B118" s="198">
        <v>934231.95</v>
      </c>
      <c r="C118" s="198"/>
      <c r="D118" s="189"/>
    </row>
    <row r="119" spans="1:4" ht="12.75">
      <c r="A119" s="190" t="s">
        <v>665</v>
      </c>
      <c r="B119" s="199">
        <v>1363138913.37</v>
      </c>
      <c r="C119" s="199"/>
      <c r="D119" s="189"/>
    </row>
    <row r="120" spans="1:4" ht="12.75">
      <c r="A120" s="200" t="s">
        <v>666</v>
      </c>
      <c r="B120" s="201">
        <v>232478459.85</v>
      </c>
      <c r="C120" s="201"/>
      <c r="D120" s="189"/>
    </row>
    <row r="121" spans="1:4" ht="12.75" customHeight="1" hidden="1">
      <c r="A121" s="190"/>
      <c r="B121" s="202"/>
      <c r="C121" s="202"/>
      <c r="D121" s="173"/>
    </row>
    <row r="122" spans="1:4" ht="12.75" customHeight="1" hidden="1">
      <c r="A122" s="190"/>
      <c r="B122" s="202"/>
      <c r="C122" s="202"/>
      <c r="D122" s="173"/>
    </row>
    <row r="123" spans="1:4" ht="12.75" customHeight="1" hidden="1">
      <c r="A123" s="190"/>
      <c r="B123" s="202"/>
      <c r="C123" s="202"/>
      <c r="D123" s="173"/>
    </row>
    <row r="124" spans="1:4" ht="12.75" customHeight="1" hidden="1">
      <c r="A124" s="190"/>
      <c r="B124" s="202"/>
      <c r="C124" s="202"/>
      <c r="D124" s="173"/>
    </row>
    <row r="125" spans="1:4" ht="12.75" customHeight="1" hidden="1">
      <c r="A125" s="190"/>
      <c r="B125" s="202"/>
      <c r="C125" s="202"/>
      <c r="D125" s="173"/>
    </row>
    <row r="126" spans="1:4" ht="12.75">
      <c r="A126" s="190"/>
      <c r="B126" s="202"/>
      <c r="C126" s="202"/>
      <c r="D126" s="173"/>
    </row>
    <row r="127" spans="1:5" ht="12.75">
      <c r="A127" s="559"/>
      <c r="B127" s="734" t="s">
        <v>467</v>
      </c>
      <c r="C127" s="772" t="s">
        <v>197</v>
      </c>
      <c r="D127" s="768" t="s">
        <v>72</v>
      </c>
      <c r="E127" s="769"/>
    </row>
    <row r="128" spans="1:5" ht="12.75">
      <c r="A128" s="544" t="s">
        <v>647</v>
      </c>
      <c r="B128" s="735"/>
      <c r="C128" s="773"/>
      <c r="D128" s="537" t="str">
        <f>D20</f>
        <v>Até o Bimestre</v>
      </c>
      <c r="E128" s="526" t="str">
        <f>E20</f>
        <v>Até o  Bimestre</v>
      </c>
    </row>
    <row r="129" spans="1:5" ht="25.5">
      <c r="A129" s="152"/>
      <c r="B129" s="740"/>
      <c r="C129" s="774"/>
      <c r="D129" s="558" t="s">
        <v>151</v>
      </c>
      <c r="E129" s="541" t="s">
        <v>152</v>
      </c>
    </row>
    <row r="130" spans="1:5" ht="12.75">
      <c r="A130" s="110" t="s">
        <v>904</v>
      </c>
      <c r="B130" s="8">
        <f>B131+B140+B149+B153+B154</f>
        <v>0</v>
      </c>
      <c r="C130" s="8">
        <f>C131+C140+C149+C153+C154</f>
        <v>0</v>
      </c>
      <c r="D130" s="8">
        <f>D131+D140+D149+D153+D154</f>
        <v>0</v>
      </c>
      <c r="E130" s="9">
        <f>E131+E140+E149+E153+E154</f>
        <v>0</v>
      </c>
    </row>
    <row r="131" spans="1:5" ht="12.75">
      <c r="A131" s="103" t="s">
        <v>87</v>
      </c>
      <c r="B131" s="8">
        <f>B132+B136</f>
        <v>0</v>
      </c>
      <c r="C131" s="8">
        <f>C132+C136</f>
        <v>0</v>
      </c>
      <c r="D131" s="8">
        <f>D132+D136</f>
        <v>0</v>
      </c>
      <c r="E131" s="5">
        <f>E132+E136</f>
        <v>0</v>
      </c>
    </row>
    <row r="132" spans="1:5" ht="12.75">
      <c r="A132" s="103" t="s">
        <v>283</v>
      </c>
      <c r="B132" s="8">
        <f>SUM(B133:B135)</f>
        <v>0</v>
      </c>
      <c r="C132" s="8">
        <f>SUM(C133:C135)</f>
        <v>0</v>
      </c>
      <c r="D132" s="8">
        <f>SUM(D133:D135)</f>
        <v>0</v>
      </c>
      <c r="E132" s="5">
        <f>SUM(E133:E135)</f>
        <v>0</v>
      </c>
    </row>
    <row r="133" spans="1:5" ht="12.75">
      <c r="A133" s="103" t="s">
        <v>88</v>
      </c>
      <c r="B133" s="8"/>
      <c r="C133" s="8"/>
      <c r="D133" s="8"/>
      <c r="E133" s="5"/>
    </row>
    <row r="134" spans="1:5" ht="12.75">
      <c r="A134" s="103" t="s">
        <v>89</v>
      </c>
      <c r="B134" s="8"/>
      <c r="C134" s="8"/>
      <c r="D134" s="8"/>
      <c r="E134" s="5"/>
    </row>
    <row r="135" spans="1:5" ht="12.75">
      <c r="A135" s="103" t="s">
        <v>90</v>
      </c>
      <c r="B135" s="8"/>
      <c r="C135" s="8"/>
      <c r="D135" s="8"/>
      <c r="E135" s="5"/>
    </row>
    <row r="136" spans="1:5" ht="12.75">
      <c r="A136" s="103" t="s">
        <v>284</v>
      </c>
      <c r="B136" s="8">
        <f>SUM(B137:B139)</f>
        <v>0</v>
      </c>
      <c r="C136" s="8">
        <f>SUM(C137:C139)</f>
        <v>0</v>
      </c>
      <c r="D136" s="8">
        <f>SUM(D137:D139)</f>
        <v>0</v>
      </c>
      <c r="E136" s="5">
        <f>SUM(E137:E139)</f>
        <v>0</v>
      </c>
    </row>
    <row r="137" spans="1:5" ht="12.75">
      <c r="A137" s="103" t="s">
        <v>91</v>
      </c>
      <c r="B137" s="8"/>
      <c r="C137" s="8"/>
      <c r="D137" s="8"/>
      <c r="E137" s="5"/>
    </row>
    <row r="138" spans="1:5" ht="12.75">
      <c r="A138" s="103" t="s">
        <v>92</v>
      </c>
      <c r="B138" s="8"/>
      <c r="C138" s="8"/>
      <c r="D138" s="8"/>
      <c r="E138" s="5"/>
    </row>
    <row r="139" spans="1:5" ht="12.75">
      <c r="A139" s="103" t="s">
        <v>90</v>
      </c>
      <c r="B139" s="8"/>
      <c r="C139" s="8"/>
      <c r="D139" s="8"/>
      <c r="E139" s="5"/>
    </row>
    <row r="140" spans="1:5" ht="12.75">
      <c r="A140" s="103" t="s">
        <v>644</v>
      </c>
      <c r="B140" s="8">
        <f>B141+B145</f>
        <v>0</v>
      </c>
      <c r="C140" s="8">
        <f>C141+C145</f>
        <v>0</v>
      </c>
      <c r="D140" s="8">
        <f>D141+D145</f>
        <v>0</v>
      </c>
      <c r="E140" s="5">
        <f>E141+E145</f>
        <v>0</v>
      </c>
    </row>
    <row r="141" spans="1:5" ht="12.75">
      <c r="A141" s="103" t="s">
        <v>283</v>
      </c>
      <c r="B141" s="8">
        <f>SUM(B142:B144)</f>
        <v>0</v>
      </c>
      <c r="C141" s="8">
        <f>SUM(C142:C144)</f>
        <v>0</v>
      </c>
      <c r="D141" s="8">
        <f>SUM(D142:D144)</f>
        <v>0</v>
      </c>
      <c r="E141" s="5">
        <f>SUM(E142:E144)</f>
        <v>0</v>
      </c>
    </row>
    <row r="142" spans="1:5" ht="12.75">
      <c r="A142" s="103" t="s">
        <v>88</v>
      </c>
      <c r="B142" s="8"/>
      <c r="C142" s="8"/>
      <c r="D142" s="8"/>
      <c r="E142" s="5"/>
    </row>
    <row r="143" spans="1:5" ht="12.75">
      <c r="A143" s="103" t="s">
        <v>89</v>
      </c>
      <c r="B143" s="8"/>
      <c r="C143" s="8"/>
      <c r="D143" s="8"/>
      <c r="E143" s="5"/>
    </row>
    <row r="144" spans="1:5" ht="12.75">
      <c r="A144" s="103" t="s">
        <v>90</v>
      </c>
      <c r="B144" s="8"/>
      <c r="C144" s="8"/>
      <c r="D144" s="8"/>
      <c r="E144" s="5"/>
    </row>
    <row r="145" spans="1:5" ht="12.75">
      <c r="A145" s="103" t="s">
        <v>284</v>
      </c>
      <c r="B145" s="8">
        <f>SUM(B146:B148)</f>
        <v>0</v>
      </c>
      <c r="C145" s="8">
        <f>SUM(C146:C148)</f>
        <v>0</v>
      </c>
      <c r="D145" s="8">
        <f>SUM(D146:D148)</f>
        <v>0</v>
      </c>
      <c r="E145" s="5">
        <f>SUM(E146:E148)</f>
        <v>0</v>
      </c>
    </row>
    <row r="146" spans="1:5" ht="12.75">
      <c r="A146" s="103" t="s">
        <v>91</v>
      </c>
      <c r="B146" s="8"/>
      <c r="C146" s="8"/>
      <c r="D146" s="8"/>
      <c r="E146" s="5"/>
    </row>
    <row r="147" spans="1:5" ht="12.75">
      <c r="A147" s="103" t="s">
        <v>92</v>
      </c>
      <c r="B147" s="8"/>
      <c r="C147" s="8"/>
      <c r="D147" s="8"/>
      <c r="E147" s="5"/>
    </row>
    <row r="148" spans="1:5" ht="12.75">
      <c r="A148" s="103" t="s">
        <v>90</v>
      </c>
      <c r="B148" s="8"/>
      <c r="C148" s="8"/>
      <c r="D148" s="8"/>
      <c r="E148" s="5"/>
    </row>
    <row r="149" spans="1:5" ht="12.75">
      <c r="A149" s="103" t="s">
        <v>310</v>
      </c>
      <c r="B149" s="8">
        <f>SUM(B150:B152)</f>
        <v>0</v>
      </c>
      <c r="C149" s="8">
        <f>SUM(C150:C152)</f>
        <v>0</v>
      </c>
      <c r="D149" s="8">
        <f>SUM(D150:D152)</f>
        <v>0</v>
      </c>
      <c r="E149" s="5">
        <f>SUM(E150:E152)</f>
        <v>0</v>
      </c>
    </row>
    <row r="150" spans="1:5" ht="12.75">
      <c r="A150" s="103" t="s">
        <v>13</v>
      </c>
      <c r="B150" s="8"/>
      <c r="C150" s="8"/>
      <c r="D150" s="8"/>
      <c r="E150" s="5"/>
    </row>
    <row r="151" spans="1:5" ht="12.75">
      <c r="A151" s="103" t="s">
        <v>14</v>
      </c>
      <c r="B151" s="8"/>
      <c r="C151" s="8"/>
      <c r="D151" s="8"/>
      <c r="E151" s="5"/>
    </row>
    <row r="152" spans="1:5" ht="12.75">
      <c r="A152" s="103" t="s">
        <v>15</v>
      </c>
      <c r="B152" s="8"/>
      <c r="C152" s="8"/>
      <c r="D152" s="8"/>
      <c r="E152" s="5"/>
    </row>
    <row r="153" spans="1:5" ht="12.75">
      <c r="A153" s="103" t="s">
        <v>185</v>
      </c>
      <c r="B153" s="8"/>
      <c r="C153" s="8"/>
      <c r="D153" s="8"/>
      <c r="E153" s="5"/>
    </row>
    <row r="154" spans="1:5" ht="12.75">
      <c r="A154" s="103" t="s">
        <v>285</v>
      </c>
      <c r="B154" s="8">
        <f>SUM(B155:B156)</f>
        <v>0</v>
      </c>
      <c r="C154" s="8">
        <f>SUM(C155:C156)</f>
        <v>0</v>
      </c>
      <c r="D154" s="8">
        <f>SUM(D155:D156)</f>
        <v>0</v>
      </c>
      <c r="E154" s="5">
        <f>SUM(E155:E156)</f>
        <v>0</v>
      </c>
    </row>
    <row r="155" spans="1:5" ht="12.75">
      <c r="A155" s="103" t="s">
        <v>186</v>
      </c>
      <c r="B155" s="8"/>
      <c r="C155" s="8"/>
      <c r="D155" s="8"/>
      <c r="E155" s="5"/>
    </row>
    <row r="156" spans="1:5" ht="12.75">
      <c r="A156" s="103" t="s">
        <v>93</v>
      </c>
      <c r="B156" s="8"/>
      <c r="C156" s="8"/>
      <c r="D156" s="8"/>
      <c r="E156" s="5"/>
    </row>
    <row r="157" spans="1:5" ht="12.75">
      <c r="A157" s="103" t="s">
        <v>906</v>
      </c>
      <c r="B157" s="8">
        <f>SUM(B158:B160)</f>
        <v>0</v>
      </c>
      <c r="C157" s="8">
        <f>SUM(C158:C160)</f>
        <v>0</v>
      </c>
      <c r="D157" s="8">
        <f>SUM(D158:D160)</f>
        <v>0</v>
      </c>
      <c r="E157" s="5">
        <f>SUM(E158:E160)</f>
        <v>0</v>
      </c>
    </row>
    <row r="158" spans="1:5" ht="12.75">
      <c r="A158" s="103" t="s">
        <v>85</v>
      </c>
      <c r="B158" s="8"/>
      <c r="C158" s="8"/>
      <c r="D158" s="8"/>
      <c r="E158" s="5"/>
    </row>
    <row r="159" spans="1:5" ht="12.75">
      <c r="A159" s="103" t="s">
        <v>187</v>
      </c>
      <c r="B159" s="8"/>
      <c r="C159" s="8"/>
      <c r="D159" s="8"/>
      <c r="E159" s="5"/>
    </row>
    <row r="160" spans="1:5" ht="12.75">
      <c r="A160" s="103" t="s">
        <v>286</v>
      </c>
      <c r="B160" s="8"/>
      <c r="C160" s="8"/>
      <c r="D160" s="8"/>
      <c r="E160" s="5"/>
    </row>
    <row r="161" spans="1:5" ht="12.75">
      <c r="A161" s="560" t="s">
        <v>905</v>
      </c>
      <c r="B161" s="13">
        <f>B130+B157</f>
        <v>0</v>
      </c>
      <c r="C161" s="13">
        <f>C130+C157</f>
        <v>0</v>
      </c>
      <c r="D161" s="13">
        <f>D130+D157</f>
        <v>0</v>
      </c>
      <c r="E161" s="14">
        <f>E130+E157</f>
        <v>0</v>
      </c>
    </row>
    <row r="162" spans="1:4" ht="12.75" customHeight="1" hidden="1">
      <c r="A162" s="190"/>
      <c r="B162" s="202"/>
      <c r="C162" s="202"/>
      <c r="D162" s="173"/>
    </row>
    <row r="163" spans="1:4" ht="12.75" customHeight="1" hidden="1">
      <c r="A163" s="190"/>
      <c r="B163" s="202"/>
      <c r="C163" s="202"/>
      <c r="D163" s="173"/>
    </row>
    <row r="164" spans="1:4" ht="12.75" customHeight="1" hidden="1">
      <c r="A164" s="190"/>
      <c r="B164" s="202"/>
      <c r="C164" s="202"/>
      <c r="D164" s="173"/>
    </row>
    <row r="165" spans="1:4" ht="12.75" customHeight="1" hidden="1">
      <c r="A165" s="190"/>
      <c r="B165" s="202"/>
      <c r="C165" s="202"/>
      <c r="D165" s="173"/>
    </row>
    <row r="166" spans="1:4" ht="12.75" customHeight="1" hidden="1">
      <c r="A166" s="190"/>
      <c r="B166" s="202"/>
      <c r="C166" s="202"/>
      <c r="D166" s="173"/>
    </row>
    <row r="167" spans="1:4" ht="12.75">
      <c r="A167" s="190"/>
      <c r="B167" s="202"/>
      <c r="C167" s="202"/>
      <c r="D167" s="173"/>
    </row>
    <row r="168" spans="1:9" ht="12.75">
      <c r="A168" s="760" t="s">
        <v>650</v>
      </c>
      <c r="B168" s="734" t="s">
        <v>557</v>
      </c>
      <c r="C168" s="734" t="s">
        <v>198</v>
      </c>
      <c r="D168" s="768" t="s">
        <v>104</v>
      </c>
      <c r="E168" s="769"/>
      <c r="F168" s="768" t="s">
        <v>105</v>
      </c>
      <c r="G168" s="769"/>
      <c r="H168" s="768" t="s">
        <v>320</v>
      </c>
      <c r="I168" s="769"/>
    </row>
    <row r="169" spans="1:9" ht="12.75">
      <c r="A169" s="761"/>
      <c r="B169" s="735"/>
      <c r="C169" s="770"/>
      <c r="D169" s="537" t="str">
        <f>D64</f>
        <v>Até o  Bimestre</v>
      </c>
      <c r="E169" s="537" t="str">
        <f>E64</f>
        <v>Até o  Bimestre</v>
      </c>
      <c r="F169" s="537" t="str">
        <f>D169</f>
        <v>Até o  Bimestre</v>
      </c>
      <c r="G169" s="537" t="str">
        <f>E169</f>
        <v>Até o  Bimestre</v>
      </c>
      <c r="H169" s="526" t="s">
        <v>625</v>
      </c>
      <c r="I169" s="526" t="s">
        <v>624</v>
      </c>
    </row>
    <row r="170" spans="1:9" ht="25.5">
      <c r="A170" s="762"/>
      <c r="B170" s="740"/>
      <c r="C170" s="771"/>
      <c r="D170" s="558" t="s">
        <v>151</v>
      </c>
      <c r="E170" s="558" t="s">
        <v>152</v>
      </c>
      <c r="F170" s="558" t="s">
        <v>151</v>
      </c>
      <c r="G170" s="558" t="s">
        <v>152</v>
      </c>
      <c r="H170" s="541" t="s">
        <v>626</v>
      </c>
      <c r="I170" s="541" t="s">
        <v>152</v>
      </c>
    </row>
    <row r="171" spans="1:9" ht="12.75">
      <c r="A171" s="183" t="s">
        <v>648</v>
      </c>
      <c r="B171" s="8">
        <f aca="true" t="shared" si="4" ref="B171:I171">SUM(B172:B174)</f>
        <v>0</v>
      </c>
      <c r="C171" s="8">
        <f t="shared" si="4"/>
        <v>0</v>
      </c>
      <c r="D171" s="8">
        <f t="shared" si="4"/>
        <v>0</v>
      </c>
      <c r="E171" s="8">
        <f t="shared" si="4"/>
        <v>0</v>
      </c>
      <c r="F171" s="8">
        <f t="shared" si="4"/>
        <v>0</v>
      </c>
      <c r="G171" s="8">
        <f t="shared" si="4"/>
        <v>0</v>
      </c>
      <c r="H171" s="8">
        <f t="shared" si="4"/>
        <v>0</v>
      </c>
      <c r="I171" s="9">
        <f t="shared" si="4"/>
        <v>0</v>
      </c>
    </row>
    <row r="172" spans="1:9" ht="12.75">
      <c r="A172" s="183" t="s">
        <v>287</v>
      </c>
      <c r="B172" s="8"/>
      <c r="C172" s="8"/>
      <c r="D172" s="8"/>
      <c r="E172" s="8"/>
      <c r="F172" s="8"/>
      <c r="G172" s="8"/>
      <c r="H172" s="8"/>
      <c r="I172" s="5"/>
    </row>
    <row r="173" spans="1:9" ht="12.75">
      <c r="A173" s="183" t="s">
        <v>288</v>
      </c>
      <c r="B173" s="8"/>
      <c r="C173" s="8"/>
      <c r="D173" s="8"/>
      <c r="E173" s="8"/>
      <c r="F173" s="8"/>
      <c r="G173" s="8"/>
      <c r="H173" s="8"/>
      <c r="I173" s="5"/>
    </row>
    <row r="174" spans="1:9" ht="12.75">
      <c r="A174" s="183" t="s">
        <v>289</v>
      </c>
      <c r="B174" s="8"/>
      <c r="C174" s="8"/>
      <c r="D174" s="8"/>
      <c r="E174" s="8"/>
      <c r="F174" s="8"/>
      <c r="G174" s="8"/>
      <c r="H174" s="8"/>
      <c r="I174" s="5"/>
    </row>
    <row r="175" spans="1:9" ht="12.75">
      <c r="A175" s="183" t="s">
        <v>649</v>
      </c>
      <c r="B175" s="8">
        <f aca="true" t="shared" si="5" ref="B175:I175">SUM(B176:B178)</f>
        <v>0</v>
      </c>
      <c r="C175" s="8">
        <f t="shared" si="5"/>
        <v>0</v>
      </c>
      <c r="D175" s="8">
        <f t="shared" si="5"/>
        <v>0</v>
      </c>
      <c r="E175" s="8">
        <f t="shared" si="5"/>
        <v>0</v>
      </c>
      <c r="F175" s="8">
        <f t="shared" si="5"/>
        <v>0</v>
      </c>
      <c r="G175" s="8">
        <f t="shared" si="5"/>
        <v>0</v>
      </c>
      <c r="H175" s="8">
        <f t="shared" si="5"/>
        <v>0</v>
      </c>
      <c r="I175" s="5">
        <f t="shared" si="5"/>
        <v>0</v>
      </c>
    </row>
    <row r="176" spans="1:9" ht="12.75">
      <c r="A176" s="183" t="s">
        <v>290</v>
      </c>
      <c r="B176" s="8"/>
      <c r="C176" s="8"/>
      <c r="D176" s="8"/>
      <c r="E176" s="8"/>
      <c r="F176" s="8"/>
      <c r="G176" s="8"/>
      <c r="H176" s="8"/>
      <c r="I176" s="5"/>
    </row>
    <row r="177" spans="1:9" ht="12.75">
      <c r="A177" s="183" t="s">
        <v>288</v>
      </c>
      <c r="B177" s="8"/>
      <c r="C177" s="8"/>
      <c r="D177" s="8"/>
      <c r="E177" s="8"/>
      <c r="F177" s="8"/>
      <c r="G177" s="8"/>
      <c r="H177" s="8"/>
      <c r="I177" s="5"/>
    </row>
    <row r="178" spans="1:9" ht="12.75">
      <c r="A178" s="183" t="s">
        <v>289</v>
      </c>
      <c r="B178" s="8"/>
      <c r="C178" s="8"/>
      <c r="D178" s="8"/>
      <c r="E178" s="8"/>
      <c r="F178" s="8"/>
      <c r="G178" s="8"/>
      <c r="H178" s="8"/>
      <c r="I178" s="5"/>
    </row>
    <row r="179" spans="1:9" ht="12.75">
      <c r="A179" s="183" t="s">
        <v>291</v>
      </c>
      <c r="B179" s="8">
        <f aca="true" t="shared" si="6" ref="B179:I179">SUM(B180:B181)</f>
        <v>0</v>
      </c>
      <c r="C179" s="8">
        <f t="shared" si="6"/>
        <v>0</v>
      </c>
      <c r="D179" s="8">
        <f t="shared" si="6"/>
        <v>0</v>
      </c>
      <c r="E179" s="8">
        <f t="shared" si="6"/>
        <v>0</v>
      </c>
      <c r="F179" s="8">
        <f t="shared" si="6"/>
        <v>0</v>
      </c>
      <c r="G179" s="8">
        <f t="shared" si="6"/>
        <v>0</v>
      </c>
      <c r="H179" s="8">
        <f t="shared" si="6"/>
        <v>0</v>
      </c>
      <c r="I179" s="5">
        <f t="shared" si="6"/>
        <v>0</v>
      </c>
    </row>
    <row r="180" spans="1:9" ht="12.75">
      <c r="A180" s="183" t="s">
        <v>188</v>
      </c>
      <c r="B180" s="8"/>
      <c r="C180" s="8"/>
      <c r="D180" s="8"/>
      <c r="E180" s="8"/>
      <c r="F180" s="8"/>
      <c r="G180" s="8"/>
      <c r="H180" s="8"/>
      <c r="I180" s="5"/>
    </row>
    <row r="181" spans="1:9" ht="12.75" customHeight="1">
      <c r="A181" s="183" t="s">
        <v>37</v>
      </c>
      <c r="B181" s="8"/>
      <c r="C181" s="8"/>
      <c r="D181" s="8"/>
      <c r="E181" s="8"/>
      <c r="F181" s="8"/>
      <c r="G181" s="8"/>
      <c r="H181" s="8"/>
      <c r="I181" s="36"/>
    </row>
    <row r="182" spans="1:9" ht="12.75">
      <c r="A182" s="555" t="s">
        <v>907</v>
      </c>
      <c r="B182" s="13">
        <f aca="true" t="shared" si="7" ref="B182:I182">B171+B175+B179</f>
        <v>0</v>
      </c>
      <c r="C182" s="13">
        <f t="shared" si="7"/>
        <v>0</v>
      </c>
      <c r="D182" s="13">
        <f t="shared" si="7"/>
        <v>0</v>
      </c>
      <c r="E182" s="13">
        <f t="shared" si="7"/>
        <v>0</v>
      </c>
      <c r="F182" s="13">
        <f t="shared" si="7"/>
        <v>0</v>
      </c>
      <c r="G182" s="13">
        <f t="shared" si="7"/>
        <v>0</v>
      </c>
      <c r="H182" s="13">
        <f t="shared" si="7"/>
        <v>0</v>
      </c>
      <c r="I182" s="14">
        <f t="shared" si="7"/>
        <v>0</v>
      </c>
    </row>
    <row r="183" spans="1:9" ht="12.75">
      <c r="A183" s="556" t="s">
        <v>908</v>
      </c>
      <c r="B183" s="13">
        <f>B161-B182</f>
        <v>0</v>
      </c>
      <c r="C183" s="13">
        <f>C161-C182</f>
        <v>0</v>
      </c>
      <c r="D183" s="13">
        <f>D161-D182</f>
        <v>0</v>
      </c>
      <c r="E183" s="13">
        <f>E161-E182</f>
        <v>0</v>
      </c>
      <c r="F183" s="13">
        <f>D161-F182</f>
        <v>0</v>
      </c>
      <c r="G183" s="13">
        <f>E161-G182</f>
        <v>0</v>
      </c>
      <c r="H183" s="144"/>
      <c r="I183" s="144"/>
    </row>
    <row r="184" spans="1:4" ht="12.75" customHeight="1" hidden="1">
      <c r="A184" s="190"/>
      <c r="B184" s="202"/>
      <c r="C184" s="202"/>
      <c r="D184" s="173"/>
    </row>
    <row r="185" spans="1:4" ht="12.75" customHeight="1" hidden="1">
      <c r="A185" s="190"/>
      <c r="B185" s="202"/>
      <c r="C185" s="202"/>
      <c r="D185" s="173"/>
    </row>
    <row r="186" spans="1:4" ht="12.75" customHeight="1" hidden="1">
      <c r="A186" s="190"/>
      <c r="B186" s="202"/>
      <c r="C186" s="202"/>
      <c r="D186" s="173"/>
    </row>
    <row r="187" spans="1:4" ht="12.75" customHeight="1" hidden="1">
      <c r="A187" s="190"/>
      <c r="B187" s="202"/>
      <c r="C187" s="202"/>
      <c r="D187" s="173"/>
    </row>
    <row r="188" spans="1:4" ht="12.75">
      <c r="A188" s="190"/>
      <c r="B188" s="202"/>
      <c r="C188" s="202"/>
      <c r="D188" s="173"/>
    </row>
    <row r="189" spans="1:4" ht="12.75" customHeight="1">
      <c r="A189" s="763" t="s">
        <v>667</v>
      </c>
      <c r="B189" s="734" t="s">
        <v>478</v>
      </c>
      <c r="C189" s="561"/>
      <c r="D189" s="173"/>
    </row>
    <row r="190" spans="1:4" ht="12.75">
      <c r="A190" s="764"/>
      <c r="B190" s="735"/>
      <c r="C190" s="561"/>
      <c r="D190" s="173"/>
    </row>
    <row r="191" spans="1:4" ht="12.75" customHeight="1">
      <c r="A191" s="765"/>
      <c r="B191" s="740"/>
      <c r="C191" s="561"/>
      <c r="D191" s="173"/>
    </row>
    <row r="192" spans="1:4" ht="12.75" customHeight="1">
      <c r="A192" s="203" t="s">
        <v>662</v>
      </c>
      <c r="B192" s="204"/>
      <c r="C192" s="202"/>
      <c r="D192" s="173"/>
    </row>
    <row r="193" spans="1:9" ht="12.75">
      <c r="A193" s="205" t="s">
        <v>663</v>
      </c>
      <c r="B193" s="65"/>
      <c r="C193" s="206"/>
      <c r="D193" s="173"/>
      <c r="E193" s="173"/>
      <c r="F193" s="173"/>
      <c r="G193" s="173"/>
      <c r="H193" s="173"/>
      <c r="I193" s="173"/>
    </row>
    <row r="194" spans="1:9" ht="12.75" customHeight="1" hidden="1">
      <c r="A194" s="190"/>
      <c r="B194" s="207"/>
      <c r="C194" s="207"/>
      <c r="D194" s="173"/>
      <c r="E194" s="173"/>
      <c r="F194" s="173"/>
      <c r="G194" s="173"/>
      <c r="H194" s="173"/>
      <c r="I194" s="173"/>
    </row>
    <row r="195" spans="1:9" ht="12.75" customHeight="1" hidden="1">
      <c r="A195" s="190"/>
      <c r="B195" s="207"/>
      <c r="C195" s="207"/>
      <c r="D195" s="173"/>
      <c r="E195" s="173"/>
      <c r="F195" s="173"/>
      <c r="G195" s="173"/>
      <c r="H195" s="173"/>
      <c r="I195" s="173"/>
    </row>
    <row r="196" spans="1:9" ht="12.75" customHeight="1" hidden="1">
      <c r="A196" s="190"/>
      <c r="B196" s="207"/>
      <c r="C196" s="207"/>
      <c r="D196" s="173"/>
      <c r="E196" s="173"/>
      <c r="F196" s="173"/>
      <c r="G196" s="173"/>
      <c r="H196" s="173"/>
      <c r="I196" s="173"/>
    </row>
    <row r="197" spans="1:9" ht="12.75" customHeight="1" hidden="1">
      <c r="A197" s="190"/>
      <c r="B197" s="207"/>
      <c r="C197" s="207"/>
      <c r="D197" s="173"/>
      <c r="E197" s="173"/>
      <c r="F197" s="173"/>
      <c r="G197" s="173"/>
      <c r="H197" s="173"/>
      <c r="I197" s="173"/>
    </row>
    <row r="198" spans="1:9" s="173" customFormat="1" ht="12.75" customHeight="1" hidden="1">
      <c r="A198" s="208"/>
      <c r="B198" s="209"/>
      <c r="C198" s="209"/>
      <c r="D198" s="110"/>
      <c r="E198" s="110"/>
      <c r="F198" s="110"/>
      <c r="G198" s="110"/>
      <c r="H198" s="110"/>
      <c r="I198" s="110"/>
    </row>
    <row r="199" spans="1:9" s="173" customFormat="1" ht="12.75" customHeight="1">
      <c r="A199" s="208"/>
      <c r="B199" s="209"/>
      <c r="C199" s="209"/>
      <c r="D199" s="110"/>
      <c r="E199" s="110"/>
      <c r="F199" s="110"/>
      <c r="G199" s="110"/>
      <c r="H199" s="110"/>
      <c r="I199" s="110"/>
    </row>
    <row r="200" spans="1:9" s="173" customFormat="1" ht="12.75" customHeight="1">
      <c r="A200" s="559"/>
      <c r="B200" s="734" t="s">
        <v>467</v>
      </c>
      <c r="C200" s="772" t="s">
        <v>197</v>
      </c>
      <c r="D200" s="768" t="s">
        <v>72</v>
      </c>
      <c r="E200" s="769"/>
      <c r="F200" s="110"/>
      <c r="G200" s="110"/>
      <c r="H200" s="110"/>
      <c r="I200" s="110"/>
    </row>
    <row r="201" spans="1:9" s="173" customFormat="1" ht="12.75" customHeight="1">
      <c r="A201" s="544" t="s">
        <v>896</v>
      </c>
      <c r="B201" s="735"/>
      <c r="C201" s="773"/>
      <c r="D201" s="537" t="str">
        <f>D20</f>
        <v>Até o Bimestre</v>
      </c>
      <c r="E201" s="526" t="str">
        <f>E20</f>
        <v>Até o  Bimestre</v>
      </c>
      <c r="F201" s="110"/>
      <c r="G201" s="110"/>
      <c r="H201" s="110"/>
      <c r="I201" s="110"/>
    </row>
    <row r="202" spans="1:9" s="173" customFormat="1" ht="12.75" customHeight="1">
      <c r="A202" s="152"/>
      <c r="B202" s="740"/>
      <c r="C202" s="774"/>
      <c r="D202" s="558" t="s">
        <v>151</v>
      </c>
      <c r="E202" s="541" t="s">
        <v>152</v>
      </c>
      <c r="F202" s="110"/>
      <c r="G202" s="110"/>
      <c r="H202" s="110"/>
      <c r="I202" s="110"/>
    </row>
    <row r="203" spans="1:9" s="173" customFormat="1" ht="12.75" customHeight="1">
      <c r="A203" s="110" t="s">
        <v>7</v>
      </c>
      <c r="B203" s="8"/>
      <c r="C203" s="8"/>
      <c r="D203" s="8"/>
      <c r="E203" s="9"/>
      <c r="F203" s="110"/>
      <c r="G203" s="110"/>
      <c r="H203" s="110"/>
      <c r="I203" s="110"/>
    </row>
    <row r="204" spans="1:9" s="173" customFormat="1" ht="12.75" customHeight="1">
      <c r="A204" s="560" t="s">
        <v>909</v>
      </c>
      <c r="B204" s="13">
        <f>B203</f>
        <v>0</v>
      </c>
      <c r="C204" s="13">
        <f>C203</f>
        <v>0</v>
      </c>
      <c r="D204" s="13">
        <f>D203</f>
        <v>0</v>
      </c>
      <c r="E204" s="14">
        <f>E203</f>
        <v>0</v>
      </c>
      <c r="F204" s="110"/>
      <c r="G204" s="110"/>
      <c r="H204" s="110"/>
      <c r="I204" s="110"/>
    </row>
    <row r="205" spans="1:9" s="173" customFormat="1" ht="12.75" customHeight="1" hidden="1">
      <c r="A205" s="181"/>
      <c r="B205" s="210"/>
      <c r="C205" s="210"/>
      <c r="D205" s="210"/>
      <c r="E205" s="210"/>
      <c r="F205" s="110"/>
      <c r="G205" s="110"/>
      <c r="H205" s="110"/>
      <c r="I205" s="110"/>
    </row>
    <row r="206" spans="1:9" s="173" customFormat="1" ht="12.75" customHeight="1" hidden="1">
      <c r="A206" s="181"/>
      <c r="B206" s="210"/>
      <c r="C206" s="210"/>
      <c r="D206" s="210"/>
      <c r="E206" s="210"/>
      <c r="F206" s="110"/>
      <c r="G206" s="110"/>
      <c r="H206" s="110"/>
      <c r="I206" s="110"/>
    </row>
    <row r="207" spans="1:9" s="173" customFormat="1" ht="12.75" customHeight="1" hidden="1">
      <c r="A207" s="181"/>
      <c r="B207" s="210"/>
      <c r="C207" s="210"/>
      <c r="D207" s="210"/>
      <c r="E207" s="210"/>
      <c r="F207" s="110"/>
      <c r="G207" s="110"/>
      <c r="H207" s="110"/>
      <c r="I207" s="110"/>
    </row>
    <row r="208" spans="1:9" s="173" customFormat="1" ht="12.75" customHeight="1" hidden="1">
      <c r="A208" s="181"/>
      <c r="B208" s="210"/>
      <c r="C208" s="210"/>
      <c r="D208" s="210"/>
      <c r="E208" s="210"/>
      <c r="F208" s="110"/>
      <c r="G208" s="110"/>
      <c r="H208" s="110"/>
      <c r="I208" s="110"/>
    </row>
    <row r="209" spans="1:9" s="173" customFormat="1" ht="12.75" customHeight="1" hidden="1">
      <c r="A209" s="181"/>
      <c r="B209" s="210"/>
      <c r="C209" s="210"/>
      <c r="D209" s="210"/>
      <c r="E209" s="210"/>
      <c r="F209" s="110"/>
      <c r="G209" s="110"/>
      <c r="H209" s="110"/>
      <c r="I209" s="110"/>
    </row>
    <row r="210" spans="1:9" s="173" customFormat="1" ht="12.75" customHeight="1">
      <c r="A210" s="208"/>
      <c r="B210" s="209"/>
      <c r="C210" s="209"/>
      <c r="D210" s="110"/>
      <c r="E210" s="110"/>
      <c r="F210" s="110"/>
      <c r="G210" s="110"/>
      <c r="H210" s="110"/>
      <c r="I210" s="110"/>
    </row>
    <row r="211" spans="1:9" s="173" customFormat="1" ht="12.75" customHeight="1">
      <c r="A211" s="208"/>
      <c r="B211" s="209"/>
      <c r="C211" s="209"/>
      <c r="D211" s="110"/>
      <c r="E211" s="110"/>
      <c r="F211" s="110"/>
      <c r="G211" s="110"/>
      <c r="H211" s="110"/>
      <c r="I211" s="110"/>
    </row>
    <row r="212" spans="1:9" s="173" customFormat="1" ht="12.75" customHeight="1">
      <c r="A212" s="208"/>
      <c r="B212" s="209"/>
      <c r="C212" s="209"/>
      <c r="D212" s="110"/>
      <c r="E212" s="110"/>
      <c r="F212" s="110"/>
      <c r="G212" s="110"/>
      <c r="H212" s="110"/>
      <c r="I212" s="110"/>
    </row>
    <row r="213" spans="1:9" s="173" customFormat="1" ht="12.75" customHeight="1">
      <c r="A213" s="208"/>
      <c r="B213" s="209"/>
      <c r="C213" s="209"/>
      <c r="D213" s="110"/>
      <c r="E213" s="110"/>
      <c r="F213" s="110"/>
      <c r="G213" s="110"/>
      <c r="H213" s="110"/>
      <c r="I213" s="110"/>
    </row>
    <row r="214" spans="1:9" s="173" customFormat="1" ht="12.75" customHeight="1">
      <c r="A214" s="760" t="s">
        <v>897</v>
      </c>
      <c r="B214" s="734" t="s">
        <v>557</v>
      </c>
      <c r="C214" s="734" t="s">
        <v>198</v>
      </c>
      <c r="D214" s="768" t="s">
        <v>104</v>
      </c>
      <c r="E214" s="769"/>
      <c r="F214" s="768" t="s">
        <v>105</v>
      </c>
      <c r="G214" s="769"/>
      <c r="H214" s="768" t="s">
        <v>320</v>
      </c>
      <c r="I214" s="769"/>
    </row>
    <row r="215" spans="1:9" s="173" customFormat="1" ht="12.75" customHeight="1">
      <c r="A215" s="761"/>
      <c r="B215" s="735"/>
      <c r="C215" s="770"/>
      <c r="D215" s="537" t="str">
        <f>D64</f>
        <v>Até o  Bimestre</v>
      </c>
      <c r="E215" s="537" t="str">
        <f>E64</f>
        <v>Até o  Bimestre</v>
      </c>
      <c r="F215" s="537" t="str">
        <f>D215</f>
        <v>Até o  Bimestre</v>
      </c>
      <c r="G215" s="537" t="str">
        <f>E215</f>
        <v>Até o  Bimestre</v>
      </c>
      <c r="H215" s="526" t="s">
        <v>625</v>
      </c>
      <c r="I215" s="526" t="s">
        <v>624</v>
      </c>
    </row>
    <row r="216" spans="1:9" s="173" customFormat="1" ht="12.75" customHeight="1">
      <c r="A216" s="762"/>
      <c r="B216" s="740"/>
      <c r="C216" s="771"/>
      <c r="D216" s="558" t="s">
        <v>151</v>
      </c>
      <c r="E216" s="558" t="s">
        <v>152</v>
      </c>
      <c r="F216" s="558" t="s">
        <v>151</v>
      </c>
      <c r="G216" s="558" t="s">
        <v>152</v>
      </c>
      <c r="H216" s="541" t="s">
        <v>626</v>
      </c>
      <c r="I216" s="541" t="s">
        <v>152</v>
      </c>
    </row>
    <row r="217" spans="1:9" s="173" customFormat="1" ht="12.75" customHeight="1">
      <c r="A217" s="183" t="s">
        <v>898</v>
      </c>
      <c r="B217" s="8"/>
      <c r="C217" s="8"/>
      <c r="D217" s="8"/>
      <c r="E217" s="8"/>
      <c r="F217" s="8"/>
      <c r="G217" s="8"/>
      <c r="H217" s="8"/>
      <c r="I217" s="9"/>
    </row>
    <row r="218" spans="1:9" s="173" customFormat="1" ht="12.75" customHeight="1">
      <c r="A218" s="183" t="s">
        <v>899</v>
      </c>
      <c r="B218" s="8"/>
      <c r="C218" s="8"/>
      <c r="D218" s="8"/>
      <c r="E218" s="8"/>
      <c r="F218" s="8"/>
      <c r="G218" s="8"/>
      <c r="H218" s="8"/>
      <c r="I218" s="5"/>
    </row>
    <row r="219" spans="1:9" s="173" customFormat="1" ht="12.75" customHeight="1">
      <c r="A219" s="555" t="s">
        <v>900</v>
      </c>
      <c r="B219" s="13">
        <f aca="true" t="shared" si="8" ref="B219:I219">B217+B218</f>
        <v>0</v>
      </c>
      <c r="C219" s="13">
        <f t="shared" si="8"/>
        <v>0</v>
      </c>
      <c r="D219" s="13">
        <f t="shared" si="8"/>
        <v>0</v>
      </c>
      <c r="E219" s="13">
        <f t="shared" si="8"/>
        <v>0</v>
      </c>
      <c r="F219" s="13">
        <f t="shared" si="8"/>
        <v>0</v>
      </c>
      <c r="G219" s="13">
        <f t="shared" si="8"/>
        <v>0</v>
      </c>
      <c r="H219" s="13">
        <f t="shared" si="8"/>
        <v>0</v>
      </c>
      <c r="I219" s="14">
        <f t="shared" si="8"/>
        <v>0</v>
      </c>
    </row>
    <row r="220" spans="1:9" s="173" customFormat="1" ht="12.75" customHeight="1">
      <c r="A220" s="556" t="s">
        <v>901</v>
      </c>
      <c r="B220" s="13">
        <f>B204-B219</f>
        <v>0</v>
      </c>
      <c r="C220" s="13">
        <f>C204-C219</f>
        <v>0</v>
      </c>
      <c r="D220" s="13">
        <f>D204-D219</f>
        <v>0</v>
      </c>
      <c r="E220" s="13">
        <f>E204-E219</f>
        <v>0</v>
      </c>
      <c r="F220" s="13">
        <f>D204-F219</f>
        <v>0</v>
      </c>
      <c r="G220" s="13">
        <f>E204-G219</f>
        <v>0</v>
      </c>
      <c r="H220" s="144"/>
      <c r="I220" s="144"/>
    </row>
    <row r="221" spans="1:9" ht="14.25" customHeight="1">
      <c r="A221" s="744" t="s">
        <v>1064</v>
      </c>
      <c r="B221" s="744"/>
      <c r="C221" s="744"/>
      <c r="D221" s="744"/>
      <c r="E221" s="744"/>
      <c r="F221" s="744"/>
      <c r="G221" s="744"/>
      <c r="H221" s="744"/>
      <c r="I221" s="744"/>
    </row>
    <row r="222" s="173" customFormat="1" ht="11.25" customHeight="1"/>
    <row r="223" spans="1:9" ht="11.25" customHeight="1">
      <c r="A223" s="752"/>
      <c r="B223" s="752"/>
      <c r="C223" s="752"/>
      <c r="D223" s="752"/>
      <c r="E223" s="752"/>
      <c r="F223" s="752"/>
      <c r="G223" s="752"/>
      <c r="H223" s="752"/>
      <c r="I223" s="752"/>
    </row>
    <row r="227" spans="1:9" ht="11.25" customHeight="1">
      <c r="A227" s="518" t="s">
        <v>1055</v>
      </c>
      <c r="B227" s="518" t="s">
        <v>1057</v>
      </c>
      <c r="C227" s="369"/>
      <c r="D227" s="518" t="s">
        <v>1059</v>
      </c>
      <c r="E227" s="369"/>
      <c r="F227" s="520"/>
      <c r="G227" s="369"/>
      <c r="H227" s="518" t="s">
        <v>1077</v>
      </c>
      <c r="I227" s="522"/>
    </row>
    <row r="228" spans="1:9" ht="11.25" customHeight="1">
      <c r="A228" s="518" t="s">
        <v>1056</v>
      </c>
      <c r="B228" s="518" t="s">
        <v>1058</v>
      </c>
      <c r="C228" s="369"/>
      <c r="D228" s="518" t="s">
        <v>1060</v>
      </c>
      <c r="E228" s="369"/>
      <c r="F228" s="520"/>
      <c r="G228" s="369"/>
      <c r="H228" s="518" t="s">
        <v>1078</v>
      </c>
      <c r="I228" s="519"/>
    </row>
    <row r="229" spans="1:9" ht="11.25" customHeight="1">
      <c r="A229" s="522"/>
      <c r="B229" s="518" t="s">
        <v>1073</v>
      </c>
      <c r="C229" s="369"/>
      <c r="D229" s="518" t="s">
        <v>1074</v>
      </c>
      <c r="E229" s="369"/>
      <c r="F229" s="522"/>
      <c r="G229" s="369"/>
      <c r="H229" s="518" t="s">
        <v>1079</v>
      </c>
      <c r="I229" s="522"/>
    </row>
  </sheetData>
  <sheetProtection/>
  <mergeCells count="38">
    <mergeCell ref="A189:A191"/>
    <mergeCell ref="B200:B202"/>
    <mergeCell ref="C200:C202"/>
    <mergeCell ref="D200:E200"/>
    <mergeCell ref="A214:A216"/>
    <mergeCell ref="B214:B216"/>
    <mergeCell ref="C214:C216"/>
    <mergeCell ref="D214:E214"/>
    <mergeCell ref="B102:B104"/>
    <mergeCell ref="F214:G214"/>
    <mergeCell ref="H214:I214"/>
    <mergeCell ref="A221:I221"/>
    <mergeCell ref="A223:I223"/>
    <mergeCell ref="C127:C129"/>
    <mergeCell ref="D127:E127"/>
    <mergeCell ref="A168:A170"/>
    <mergeCell ref="B168:B170"/>
    <mergeCell ref="C168:C170"/>
    <mergeCell ref="B116:C116"/>
    <mergeCell ref="B189:B191"/>
    <mergeCell ref="H168:I168"/>
    <mergeCell ref="A11:F11"/>
    <mergeCell ref="A14:F14"/>
    <mergeCell ref="A15:F15"/>
    <mergeCell ref="B19:B21"/>
    <mergeCell ref="C19:C21"/>
    <mergeCell ref="D19:E19"/>
    <mergeCell ref="H63:I63"/>
    <mergeCell ref="B127:B129"/>
    <mergeCell ref="A63:A65"/>
    <mergeCell ref="A102:A104"/>
    <mergeCell ref="A116:A117"/>
    <mergeCell ref="F168:G168"/>
    <mergeCell ref="B63:B65"/>
    <mergeCell ref="C63:C65"/>
    <mergeCell ref="D168:E168"/>
    <mergeCell ref="F63:G63"/>
    <mergeCell ref="D63:E63"/>
  </mergeCells>
  <printOptions horizontalCentered="1"/>
  <pageMargins left="0.3937007874015748" right="0.3937007874015748" top="0.984251968503937" bottom="0.984251968503937" header="0" footer="0.196850393700787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2"/>
  <sheetViews>
    <sheetView showGridLines="0" zoomScalePageLayoutView="0" workbookViewId="0" topLeftCell="A1">
      <selection activeCell="A1" sqref="A1"/>
    </sheetView>
  </sheetViews>
  <sheetFormatPr defaultColWidth="16.7109375" defaultRowHeight="11.25" customHeight="1"/>
  <cols>
    <col min="1" max="1" width="56.28125" style="170" customWidth="1"/>
    <col min="2" max="2" width="16.7109375" style="170" customWidth="1"/>
    <col min="3" max="3" width="16.7109375" style="212" customWidth="1"/>
    <col min="4" max="8" width="16.7109375" style="170" customWidth="1"/>
    <col min="9" max="254" width="7.8515625" style="170" customWidth="1"/>
    <col min="255" max="255" width="55.00390625" style="170" customWidth="1"/>
    <col min="256" max="16384" width="16.7109375" style="170" customWidth="1"/>
  </cols>
  <sheetData>
    <row r="1" ht="12.75">
      <c r="A1" s="211"/>
    </row>
    <row r="2" ht="25.5" customHeight="1">
      <c r="A2" s="500" t="s">
        <v>1050</v>
      </c>
    </row>
    <row r="3" ht="15.75" customHeight="1">
      <c r="A3" s="501" t="s">
        <v>1051</v>
      </c>
    </row>
    <row r="4" ht="15.75" customHeight="1">
      <c r="A4" s="501" t="s">
        <v>1052</v>
      </c>
    </row>
    <row r="5" ht="15.75" customHeight="1">
      <c r="A5" s="501" t="s">
        <v>1053</v>
      </c>
    </row>
    <row r="6" ht="15.75">
      <c r="A6" s="104" t="s">
        <v>603</v>
      </c>
    </row>
    <row r="7" spans="1:4" ht="12.75">
      <c r="A7" s="183"/>
      <c r="B7" s="183"/>
      <c r="C7" s="188"/>
      <c r="D7" s="183"/>
    </row>
    <row r="8" spans="1:4" ht="12.75">
      <c r="A8" s="484" t="s">
        <v>1050</v>
      </c>
      <c r="B8" s="106"/>
      <c r="C8" s="106"/>
      <c r="D8" s="106"/>
    </row>
    <row r="9" spans="1:4" ht="12.75">
      <c r="A9" s="106" t="s">
        <v>68</v>
      </c>
      <c r="B9" s="106"/>
      <c r="C9" s="106"/>
      <c r="D9" s="106"/>
    </row>
    <row r="10" spans="1:4" ht="12.75">
      <c r="A10" s="107" t="s">
        <v>852</v>
      </c>
      <c r="B10" s="107"/>
      <c r="C10" s="107"/>
      <c r="D10" s="107"/>
    </row>
    <row r="11" spans="1:4" ht="12.75">
      <c r="A11" s="745" t="s">
        <v>70</v>
      </c>
      <c r="B11" s="745"/>
      <c r="C11" s="745"/>
      <c r="D11" s="745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4" ht="12.75">
      <c r="A13" s="333" t="s">
        <v>1054</v>
      </c>
      <c r="B13" s="172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C13" s="103"/>
      <c r="D13" s="103"/>
    </row>
    <row r="14" spans="1:4" ht="12.75" customHeight="1" hidden="1">
      <c r="A14" s="745"/>
      <c r="B14" s="745"/>
      <c r="C14" s="745"/>
      <c r="D14" s="745"/>
    </row>
    <row r="15" spans="1:4" ht="12.75" customHeight="1" hidden="1">
      <c r="A15" s="745"/>
      <c r="B15" s="745"/>
      <c r="C15" s="745"/>
      <c r="D15" s="745"/>
    </row>
    <row r="16" spans="1:4" ht="11.25" customHeight="1" hidden="1">
      <c r="A16" s="106"/>
      <c r="B16" s="106"/>
      <c r="C16" s="106"/>
      <c r="D16" s="106"/>
    </row>
    <row r="17" spans="1:4" ht="11.25" customHeight="1">
      <c r="A17" s="103"/>
      <c r="B17" s="103"/>
      <c r="C17" s="103"/>
      <c r="D17" s="103"/>
    </row>
    <row r="18" spans="1:4" ht="11.25" customHeight="1">
      <c r="A18" s="169" t="s">
        <v>604</v>
      </c>
      <c r="C18" s="111" t="s">
        <v>605</v>
      </c>
      <c r="D18" s="113"/>
    </row>
    <row r="19" spans="1:4" ht="11.25" customHeight="1">
      <c r="A19" s="590"/>
      <c r="B19" s="772" t="s">
        <v>197</v>
      </c>
      <c r="C19" s="734" t="s">
        <v>72</v>
      </c>
      <c r="D19" s="213"/>
    </row>
    <row r="20" spans="1:4" ht="11.25" customHeight="1">
      <c r="A20" s="549" t="s">
        <v>606</v>
      </c>
      <c r="B20" s="775"/>
      <c r="C20" s="735"/>
      <c r="D20" s="212"/>
    </row>
    <row r="21" spans="1:4" ht="11.25" customHeight="1">
      <c r="A21" s="591"/>
      <c r="B21" s="776"/>
      <c r="C21" s="740"/>
      <c r="D21" s="212"/>
    </row>
    <row r="22" spans="1:4" ht="11.25" customHeight="1">
      <c r="A22" s="110" t="s">
        <v>736</v>
      </c>
      <c r="B22" s="214">
        <f>B23+B29+B30+B33+B42</f>
        <v>1197909000.31</v>
      </c>
      <c r="C22" s="215">
        <f>C23+C29+C30+C33+C42</f>
        <v>216938164.57</v>
      </c>
      <c r="D22" s="166"/>
    </row>
    <row r="23" spans="1:4" ht="11.25" customHeight="1">
      <c r="A23" s="216" t="s">
        <v>726</v>
      </c>
      <c r="B23" s="217">
        <f>SUM(B24:B28)</f>
        <v>321307000</v>
      </c>
      <c r="C23" s="215">
        <f>SUM(C24:C28)</f>
        <v>48735254.839999996</v>
      </c>
      <c r="D23" s="166"/>
    </row>
    <row r="24" spans="1:4" ht="11.25" customHeight="1">
      <c r="A24" s="218" t="s">
        <v>740</v>
      </c>
      <c r="B24" s="217">
        <v>125330000</v>
      </c>
      <c r="C24" s="215">
        <v>12489723.33</v>
      </c>
      <c r="D24" s="219"/>
    </row>
    <row r="25" spans="1:4" ht="11.25" customHeight="1">
      <c r="A25" s="110" t="s">
        <v>737</v>
      </c>
      <c r="B25" s="217">
        <v>90380000</v>
      </c>
      <c r="C25" s="215">
        <v>19244383.34</v>
      </c>
      <c r="D25" s="219"/>
    </row>
    <row r="26" spans="1:4" ht="11.25" customHeight="1">
      <c r="A26" s="110" t="s">
        <v>738</v>
      </c>
      <c r="B26" s="217">
        <v>30405000</v>
      </c>
      <c r="C26" s="215">
        <v>8759936.75</v>
      </c>
      <c r="D26" s="219"/>
    </row>
    <row r="27" spans="1:4" ht="11.25" customHeight="1">
      <c r="A27" s="110" t="s">
        <v>739</v>
      </c>
      <c r="B27" s="217">
        <v>40800000</v>
      </c>
      <c r="C27" s="215">
        <v>4227891.62</v>
      </c>
      <c r="D27" s="219"/>
    </row>
    <row r="28" spans="1:4" ht="11.25" customHeight="1">
      <c r="A28" s="110" t="s">
        <v>812</v>
      </c>
      <c r="B28" s="217">
        <v>34392000</v>
      </c>
      <c r="C28" s="215">
        <v>4013319.8</v>
      </c>
      <c r="D28" s="219"/>
    </row>
    <row r="29" spans="1:4" ht="11.25" customHeight="1">
      <c r="A29" s="110" t="s">
        <v>727</v>
      </c>
      <c r="B29" s="217">
        <v>174878800</v>
      </c>
      <c r="C29" s="215">
        <v>14896208.18</v>
      </c>
      <c r="D29" s="166"/>
    </row>
    <row r="30" spans="1:4" ht="11.25" customHeight="1">
      <c r="A30" s="110" t="s">
        <v>728</v>
      </c>
      <c r="B30" s="217">
        <f>SUM(B31:B32)</f>
        <v>19363000.31</v>
      </c>
      <c r="C30" s="215">
        <f>SUM(C31:C32)</f>
        <v>4124272.79</v>
      </c>
      <c r="D30" s="219"/>
    </row>
    <row r="31" spans="1:4" ht="11.25" customHeight="1">
      <c r="A31" s="110" t="s">
        <v>741</v>
      </c>
      <c r="B31" s="217">
        <v>18218000.31</v>
      </c>
      <c r="C31" s="215">
        <v>3899048.53</v>
      </c>
      <c r="D31" s="219"/>
    </row>
    <row r="32" spans="1:4" ht="11.25" customHeight="1">
      <c r="A32" s="110" t="s">
        <v>723</v>
      </c>
      <c r="B32" s="217">
        <v>1145000</v>
      </c>
      <c r="C32" s="215">
        <v>225224.26</v>
      </c>
      <c r="D32" s="166"/>
    </row>
    <row r="33" spans="1:4" ht="11.25" customHeight="1">
      <c r="A33" s="110" t="s">
        <v>729</v>
      </c>
      <c r="B33" s="217">
        <f>SUM(B34:B41)</f>
        <v>540247000</v>
      </c>
      <c r="C33" s="215">
        <f>SUM(C34:C41)</f>
        <v>122967221.19000001</v>
      </c>
      <c r="D33" s="219"/>
    </row>
    <row r="34" spans="1:4" ht="11.25" customHeight="1">
      <c r="A34" s="110" t="s">
        <v>742</v>
      </c>
      <c r="B34" s="217">
        <v>62850000</v>
      </c>
      <c r="C34" s="215">
        <v>13350671.88</v>
      </c>
      <c r="D34" s="219"/>
    </row>
    <row r="35" spans="1:4" ht="11.25" customHeight="1">
      <c r="A35" s="110" t="s">
        <v>743</v>
      </c>
      <c r="B35" s="217">
        <v>209600000</v>
      </c>
      <c r="C35" s="215">
        <v>33315876.13</v>
      </c>
      <c r="D35" s="166"/>
    </row>
    <row r="36" spans="1:4" ht="11.25" customHeight="1">
      <c r="A36" s="110" t="s">
        <v>744</v>
      </c>
      <c r="B36" s="217">
        <v>52800000</v>
      </c>
      <c r="C36" s="215">
        <v>34288126.89</v>
      </c>
      <c r="D36" s="219"/>
    </row>
    <row r="37" spans="1:4" ht="11.25" customHeight="1">
      <c r="A37" s="110" t="s">
        <v>745</v>
      </c>
      <c r="B37" s="217">
        <v>800000</v>
      </c>
      <c r="C37" s="215">
        <v>19838.89</v>
      </c>
      <c r="D37" s="219"/>
    </row>
    <row r="38" spans="1:4" ht="11.25" customHeight="1">
      <c r="A38" s="110" t="s">
        <v>746</v>
      </c>
      <c r="B38" s="217">
        <v>4000</v>
      </c>
      <c r="C38" s="215">
        <v>0</v>
      </c>
      <c r="D38" s="219"/>
    </row>
    <row r="39" spans="1:4" ht="11.25" customHeight="1">
      <c r="A39" s="110" t="s">
        <v>747</v>
      </c>
      <c r="B39" s="217">
        <v>1440000</v>
      </c>
      <c r="C39" s="215">
        <v>330227.86</v>
      </c>
      <c r="D39" s="219"/>
    </row>
    <row r="40" spans="1:4" ht="11.25" customHeight="1">
      <c r="A40" s="110" t="s">
        <v>748</v>
      </c>
      <c r="B40" s="217">
        <v>117800000</v>
      </c>
      <c r="C40" s="215">
        <v>25113821.73</v>
      </c>
      <c r="D40" s="219"/>
    </row>
    <row r="41" spans="1:4" ht="11.25" customHeight="1">
      <c r="A41" s="110" t="s">
        <v>749</v>
      </c>
      <c r="B41" s="217">
        <v>94953000</v>
      </c>
      <c r="C41" s="215">
        <v>16548657.81</v>
      </c>
      <c r="D41" s="166"/>
    </row>
    <row r="42" spans="1:4" ht="11.25" customHeight="1">
      <c r="A42" s="110" t="s">
        <v>730</v>
      </c>
      <c r="B42" s="217">
        <f>SUM(B43:B44)</f>
        <v>142113200</v>
      </c>
      <c r="C42" s="215">
        <f>SUM(C43:C44)</f>
        <v>26215207.57</v>
      </c>
      <c r="D42" s="219"/>
    </row>
    <row r="43" spans="1:4" ht="11.25" customHeight="1">
      <c r="A43" s="110" t="s">
        <v>750</v>
      </c>
      <c r="B43" s="217"/>
      <c r="C43" s="215"/>
      <c r="D43" s="219"/>
    </row>
    <row r="44" spans="1:4" ht="11.25" customHeight="1">
      <c r="A44" s="110" t="s">
        <v>751</v>
      </c>
      <c r="B44" s="217">
        <v>142113200</v>
      </c>
      <c r="C44" s="215">
        <v>26215207.57</v>
      </c>
      <c r="D44" s="166"/>
    </row>
    <row r="45" spans="1:4" ht="11.25" customHeight="1">
      <c r="A45" s="110" t="s">
        <v>752</v>
      </c>
      <c r="B45" s="217">
        <f>B22-B31-B43</f>
        <v>1179691000</v>
      </c>
      <c r="C45" s="215">
        <f>C22-C31-C43</f>
        <v>213039116.04</v>
      </c>
      <c r="D45" s="219"/>
    </row>
    <row r="46" spans="1:4" ht="11.25" customHeight="1">
      <c r="A46" s="110" t="s">
        <v>753</v>
      </c>
      <c r="B46" s="217">
        <f>B47+B48+B49+B53+B56</f>
        <v>2091000</v>
      </c>
      <c r="C46" s="215">
        <f>C47+C48+C49+C53+C56</f>
        <v>1258676.58</v>
      </c>
      <c r="D46" s="219"/>
    </row>
    <row r="47" spans="1:4" s="220" customFormat="1" ht="11.25" customHeight="1">
      <c r="A47" s="110" t="s">
        <v>731</v>
      </c>
      <c r="B47" s="217"/>
      <c r="C47" s="215"/>
      <c r="D47" s="219"/>
    </row>
    <row r="48" spans="1:4" ht="11.25" customHeight="1">
      <c r="A48" s="110" t="s">
        <v>732</v>
      </c>
      <c r="B48" s="217"/>
      <c r="C48" s="215"/>
      <c r="D48" s="166"/>
    </row>
    <row r="49" spans="1:4" ht="11.25" customHeight="1">
      <c r="A49" s="110" t="s">
        <v>733</v>
      </c>
      <c r="B49" s="217">
        <f>SUM(B50:B52)</f>
        <v>2091000</v>
      </c>
      <c r="C49" s="215">
        <f>SUM(C50:C52)</f>
        <v>1158676.58</v>
      </c>
      <c r="D49" s="219"/>
    </row>
    <row r="50" spans="1:4" ht="11.25" customHeight="1">
      <c r="A50" s="110" t="s">
        <v>758</v>
      </c>
      <c r="B50" s="217"/>
      <c r="C50" s="215"/>
      <c r="D50" s="219"/>
    </row>
    <row r="51" spans="1:4" ht="11.25" customHeight="1">
      <c r="A51" s="110" t="s">
        <v>757</v>
      </c>
      <c r="B51" s="217"/>
      <c r="C51" s="215"/>
      <c r="D51" s="219"/>
    </row>
    <row r="52" spans="1:4" ht="11.25" customHeight="1">
      <c r="A52" s="110" t="s">
        <v>756</v>
      </c>
      <c r="B52" s="217">
        <v>2091000</v>
      </c>
      <c r="C52" s="215">
        <v>1158676.58</v>
      </c>
      <c r="D52" s="219"/>
    </row>
    <row r="53" spans="1:4" ht="11.25" customHeight="1">
      <c r="A53" s="110" t="s">
        <v>734</v>
      </c>
      <c r="B53" s="217">
        <f>SUM(B54:B55)</f>
        <v>0</v>
      </c>
      <c r="C53" s="215">
        <f>SUM(C54:C55)</f>
        <v>100000</v>
      </c>
      <c r="D53" s="219"/>
    </row>
    <row r="54" spans="1:4" ht="11.25" customHeight="1">
      <c r="A54" s="110" t="s">
        <v>754</v>
      </c>
      <c r="B54" s="217">
        <v>0</v>
      </c>
      <c r="C54" s="215">
        <v>100000</v>
      </c>
      <c r="D54" s="219"/>
    </row>
    <row r="55" spans="1:4" ht="11.25" customHeight="1">
      <c r="A55" s="110" t="s">
        <v>755</v>
      </c>
      <c r="B55" s="217"/>
      <c r="C55" s="215"/>
      <c r="D55" s="219"/>
    </row>
    <row r="56" spans="1:4" ht="11.25" customHeight="1">
      <c r="A56" s="110" t="s">
        <v>735</v>
      </c>
      <c r="B56" s="217">
        <f>SUM(B57:B58)</f>
        <v>0</v>
      </c>
      <c r="C56" s="215">
        <f>SUM(C57:C58)</f>
        <v>0</v>
      </c>
      <c r="D56" s="219"/>
    </row>
    <row r="57" spans="1:4" ht="11.25" customHeight="1">
      <c r="A57" s="110" t="s">
        <v>759</v>
      </c>
      <c r="B57" s="217"/>
      <c r="C57" s="215"/>
      <c r="D57" s="219"/>
    </row>
    <row r="58" spans="1:4" ht="11.25" customHeight="1">
      <c r="A58" s="110" t="s">
        <v>760</v>
      </c>
      <c r="B58" s="217"/>
      <c r="C58" s="215"/>
      <c r="D58" s="219"/>
    </row>
    <row r="59" spans="1:4" ht="11.25" customHeight="1">
      <c r="A59" s="110" t="s">
        <v>761</v>
      </c>
      <c r="B59" s="217">
        <f>B46-B47-B48-B50-B51-B57</f>
        <v>2091000</v>
      </c>
      <c r="C59" s="215">
        <f>C46-C47-C48-C50-C51-C57</f>
        <v>1258676.58</v>
      </c>
      <c r="D59" s="219"/>
    </row>
    <row r="60" spans="1:4" ht="11.25" customHeight="1">
      <c r="A60" s="589" t="s">
        <v>762</v>
      </c>
      <c r="B60" s="140">
        <f>B45+B59</f>
        <v>1181782000</v>
      </c>
      <c r="C60" s="543">
        <f>C45+C59</f>
        <v>214297792.62</v>
      </c>
      <c r="D60" s="166"/>
    </row>
    <row r="61" spans="1:4" ht="11.25" customHeight="1" hidden="1">
      <c r="A61" s="146"/>
      <c r="B61" s="221"/>
      <c r="C61" s="222"/>
      <c r="D61" s="166"/>
    </row>
    <row r="62" spans="1:4" ht="11.25" customHeight="1">
      <c r="A62" s="188"/>
      <c r="B62" s="188"/>
      <c r="C62" s="188"/>
      <c r="D62" s="188"/>
    </row>
    <row r="63" spans="1:4" ht="11.25" customHeight="1" hidden="1">
      <c r="A63" s="110"/>
      <c r="B63" s="188"/>
      <c r="C63" s="188"/>
      <c r="D63" s="188"/>
    </row>
    <row r="64" spans="1:4" ht="11.25" customHeight="1" hidden="1">
      <c r="A64" s="110"/>
      <c r="B64" s="188"/>
      <c r="C64" s="188"/>
      <c r="D64" s="188"/>
    </row>
    <row r="65" spans="1:4" ht="11.25" customHeight="1" hidden="1">
      <c r="A65" s="110"/>
      <c r="B65" s="188"/>
      <c r="C65" s="188"/>
      <c r="D65" s="188"/>
    </row>
    <row r="66" spans="1:10" ht="12.75" customHeight="1">
      <c r="A66" s="781" t="s">
        <v>607</v>
      </c>
      <c r="B66" s="728" t="s">
        <v>791</v>
      </c>
      <c r="C66" s="804" t="str">
        <f>IF(_xlfn.IFERROR(FIND("TRIMESTRE",A13,1),0)&gt;0,"Até o Trimestre",IF(_xlfn.IFERROR(FIND("BIMESTRE",A13,1),0)&gt;0,"Até o Bimestre","Até o Mês"))</f>
        <v>Até o Mês</v>
      </c>
      <c r="D66" s="805"/>
      <c r="E66" s="805"/>
      <c r="F66" s="805"/>
      <c r="G66" s="805"/>
      <c r="H66" s="806"/>
      <c r="I66" s="220"/>
      <c r="J66" s="220"/>
    </row>
    <row r="67" spans="1:10" ht="15" customHeight="1">
      <c r="A67" s="803"/>
      <c r="B67" s="788"/>
      <c r="C67" s="788" t="s">
        <v>792</v>
      </c>
      <c r="D67" s="788" t="s">
        <v>105</v>
      </c>
      <c r="E67" s="788" t="s">
        <v>796</v>
      </c>
      <c r="F67" s="728" t="s">
        <v>797</v>
      </c>
      <c r="G67" s="789" t="s">
        <v>793</v>
      </c>
      <c r="H67" s="790"/>
      <c r="I67" s="220"/>
      <c r="J67" s="220"/>
    </row>
    <row r="68" spans="1:10" ht="23.25" customHeight="1">
      <c r="A68" s="803"/>
      <c r="B68" s="788"/>
      <c r="C68" s="788"/>
      <c r="D68" s="788"/>
      <c r="E68" s="807"/>
      <c r="F68" s="788"/>
      <c r="G68" s="791"/>
      <c r="H68" s="792"/>
      <c r="I68" s="220"/>
      <c r="J68" s="220"/>
    </row>
    <row r="69" spans="1:10" ht="11.25" customHeight="1">
      <c r="A69" s="803"/>
      <c r="B69" s="788"/>
      <c r="C69" s="788"/>
      <c r="D69" s="788"/>
      <c r="E69" s="807"/>
      <c r="F69" s="788"/>
      <c r="G69" s="793"/>
      <c r="H69" s="794"/>
      <c r="I69" s="220"/>
      <c r="J69" s="220"/>
    </row>
    <row r="70" spans="1:10" ht="11.25" customHeight="1">
      <c r="A70" s="782"/>
      <c r="B70" s="783"/>
      <c r="C70" s="783"/>
      <c r="D70" s="783"/>
      <c r="E70" s="808"/>
      <c r="F70" s="783"/>
      <c r="G70" s="579" t="s">
        <v>794</v>
      </c>
      <c r="H70" s="588" t="s">
        <v>795</v>
      </c>
      <c r="I70" s="220"/>
      <c r="J70" s="220"/>
    </row>
    <row r="71" spans="1:8" ht="11.25" customHeight="1">
      <c r="A71" s="224" t="s">
        <v>799</v>
      </c>
      <c r="B71" s="215">
        <f aca="true" t="shared" si="0" ref="B71:H71">SUM(B72:B74)</f>
        <v>1164827779.05</v>
      </c>
      <c r="C71" s="217">
        <f t="shared" si="0"/>
        <v>448689444.53</v>
      </c>
      <c r="D71" s="215">
        <f t="shared" si="0"/>
        <v>146082298.97</v>
      </c>
      <c r="E71" s="225">
        <f t="shared" si="0"/>
        <v>90843593.49000001</v>
      </c>
      <c r="F71" s="215">
        <f t="shared" si="0"/>
        <v>14123277.43</v>
      </c>
      <c r="G71" s="217">
        <f t="shared" si="0"/>
        <v>37478860.74</v>
      </c>
      <c r="H71" s="215">
        <f t="shared" si="0"/>
        <v>34824451.71</v>
      </c>
    </row>
    <row r="72" spans="1:8" ht="11.25" customHeight="1">
      <c r="A72" s="224" t="s">
        <v>154</v>
      </c>
      <c r="B72" s="215">
        <v>548572655.24</v>
      </c>
      <c r="C72" s="217">
        <v>86417101.99</v>
      </c>
      <c r="D72" s="215">
        <v>85959390.64</v>
      </c>
      <c r="E72" s="225">
        <v>46348610.64</v>
      </c>
      <c r="F72" s="215">
        <v>6692088.81</v>
      </c>
      <c r="G72" s="217">
        <v>12594.04</v>
      </c>
      <c r="H72" s="215">
        <v>12594.04</v>
      </c>
    </row>
    <row r="73" spans="1:8" ht="11.25" customHeight="1">
      <c r="A73" s="224" t="s">
        <v>800</v>
      </c>
      <c r="B73" s="215">
        <v>6000100</v>
      </c>
      <c r="C73" s="217">
        <v>661580.85</v>
      </c>
      <c r="D73" s="215">
        <v>661580.85</v>
      </c>
      <c r="E73" s="225">
        <v>661580.85</v>
      </c>
      <c r="F73" s="215">
        <v>0</v>
      </c>
      <c r="G73" s="217">
        <v>0</v>
      </c>
      <c r="H73" s="215">
        <v>0</v>
      </c>
    </row>
    <row r="74" spans="1:8" ht="11.25" customHeight="1">
      <c r="A74" s="224" t="s">
        <v>155</v>
      </c>
      <c r="B74" s="215">
        <v>610255023.81</v>
      </c>
      <c r="C74" s="217">
        <v>361610761.69</v>
      </c>
      <c r="D74" s="215">
        <v>59461327.48</v>
      </c>
      <c r="E74" s="225">
        <v>43833402</v>
      </c>
      <c r="F74" s="215">
        <v>7431188.62</v>
      </c>
      <c r="G74" s="217">
        <v>37466266.7</v>
      </c>
      <c r="H74" s="215">
        <v>34811857.67</v>
      </c>
    </row>
    <row r="75" spans="1:8" ht="11.25" customHeight="1">
      <c r="A75" s="224" t="s">
        <v>801</v>
      </c>
      <c r="B75" s="215">
        <f aca="true" t="shared" si="1" ref="B75:H75">B71-B73</f>
        <v>1158827679.05</v>
      </c>
      <c r="C75" s="217">
        <f t="shared" si="1"/>
        <v>448027863.67999995</v>
      </c>
      <c r="D75" s="215">
        <f t="shared" si="1"/>
        <v>145420718.12</v>
      </c>
      <c r="E75" s="225">
        <f t="shared" si="1"/>
        <v>90182012.64000002</v>
      </c>
      <c r="F75" s="215">
        <f t="shared" si="1"/>
        <v>14123277.43</v>
      </c>
      <c r="G75" s="217">
        <f t="shared" si="1"/>
        <v>37478860.74</v>
      </c>
      <c r="H75" s="215">
        <f t="shared" si="1"/>
        <v>34824451.71</v>
      </c>
    </row>
    <row r="76" spans="1:8" ht="11.25" customHeight="1">
      <c r="A76" s="224" t="s">
        <v>802</v>
      </c>
      <c r="B76" s="215">
        <f aca="true" t="shared" si="2" ref="B76:H76">B77+B78+B83</f>
        <v>42225506.25</v>
      </c>
      <c r="C76" s="217">
        <f t="shared" si="2"/>
        <v>15889866.969999999</v>
      </c>
      <c r="D76" s="215">
        <f t="shared" si="2"/>
        <v>3293189.7800000003</v>
      </c>
      <c r="E76" s="225">
        <f t="shared" si="2"/>
        <v>2187860.7</v>
      </c>
      <c r="F76" s="215">
        <f t="shared" si="2"/>
        <v>1031497.89</v>
      </c>
      <c r="G76" s="217">
        <f t="shared" si="2"/>
        <v>10921385.33</v>
      </c>
      <c r="H76" s="215">
        <f t="shared" si="2"/>
        <v>10446038.45</v>
      </c>
    </row>
    <row r="77" spans="1:8" ht="11.25" customHeight="1">
      <c r="A77" s="120" t="s">
        <v>602</v>
      </c>
      <c r="B77" s="215">
        <v>35225406.25</v>
      </c>
      <c r="C77" s="217">
        <v>14883456.52</v>
      </c>
      <c r="D77" s="215">
        <v>2286779.33</v>
      </c>
      <c r="E77" s="225">
        <v>1181450.25</v>
      </c>
      <c r="F77" s="215">
        <v>1031497.89</v>
      </c>
      <c r="G77" s="217">
        <v>10921385.33</v>
      </c>
      <c r="H77" s="215">
        <v>10446038.45</v>
      </c>
    </row>
    <row r="78" spans="1:8" ht="11.25" customHeight="1">
      <c r="A78" s="224" t="s">
        <v>206</v>
      </c>
      <c r="B78" s="215">
        <f aca="true" t="shared" si="3" ref="B78:H78">SUM(B79:B82)</f>
        <v>0</v>
      </c>
      <c r="C78" s="217">
        <f t="shared" si="3"/>
        <v>0</v>
      </c>
      <c r="D78" s="215">
        <f t="shared" si="3"/>
        <v>0</v>
      </c>
      <c r="E78" s="225">
        <f t="shared" si="3"/>
        <v>0</v>
      </c>
      <c r="F78" s="215">
        <f t="shared" si="3"/>
        <v>0</v>
      </c>
      <c r="G78" s="217">
        <f t="shared" si="3"/>
        <v>0</v>
      </c>
      <c r="H78" s="215">
        <f t="shared" si="3"/>
        <v>0</v>
      </c>
    </row>
    <row r="79" spans="1:8" ht="11.25" customHeight="1">
      <c r="A79" s="224" t="s">
        <v>803</v>
      </c>
      <c r="B79" s="215"/>
      <c r="C79" s="217"/>
      <c r="D79" s="215"/>
      <c r="E79" s="225"/>
      <c r="F79" s="215"/>
      <c r="G79" s="217"/>
      <c r="H79" s="215"/>
    </row>
    <row r="80" spans="1:8" ht="11.25" customHeight="1">
      <c r="A80" s="224" t="s">
        <v>804</v>
      </c>
      <c r="B80" s="215"/>
      <c r="C80" s="217"/>
      <c r="D80" s="215"/>
      <c r="E80" s="225"/>
      <c r="F80" s="215"/>
      <c r="G80" s="217"/>
      <c r="H80" s="215"/>
    </row>
    <row r="81" spans="1:8" ht="11.25" customHeight="1">
      <c r="A81" s="224" t="s">
        <v>805</v>
      </c>
      <c r="B81" s="215"/>
      <c r="C81" s="217"/>
      <c r="D81" s="215"/>
      <c r="E81" s="225"/>
      <c r="F81" s="215"/>
      <c r="G81" s="217"/>
      <c r="H81" s="215"/>
    </row>
    <row r="82" spans="1:8" ht="11.25" customHeight="1">
      <c r="A82" s="224" t="s">
        <v>608</v>
      </c>
      <c r="B82" s="215"/>
      <c r="C82" s="217"/>
      <c r="D82" s="215"/>
      <c r="E82" s="225"/>
      <c r="F82" s="215"/>
      <c r="G82" s="217"/>
      <c r="H82" s="215"/>
    </row>
    <row r="83" spans="1:8" ht="11.25" customHeight="1">
      <c r="A83" s="224" t="s">
        <v>806</v>
      </c>
      <c r="B83" s="215">
        <v>7000100</v>
      </c>
      <c r="C83" s="217">
        <v>1006410.45</v>
      </c>
      <c r="D83" s="215">
        <v>1006410.45</v>
      </c>
      <c r="E83" s="225">
        <v>1006410.45</v>
      </c>
      <c r="F83" s="215">
        <v>0</v>
      </c>
      <c r="G83" s="217">
        <v>0</v>
      </c>
      <c r="H83" s="215">
        <v>0</v>
      </c>
    </row>
    <row r="84" spans="1:8" ht="25.5" customHeight="1">
      <c r="A84" s="141" t="s">
        <v>807</v>
      </c>
      <c r="B84" s="215">
        <f aca="true" t="shared" si="4" ref="B84:H84">B76-B79-B80-B81-B83</f>
        <v>35225406.25</v>
      </c>
      <c r="C84" s="217">
        <f t="shared" si="4"/>
        <v>14883456.52</v>
      </c>
      <c r="D84" s="215">
        <f t="shared" si="4"/>
        <v>2286779.33</v>
      </c>
      <c r="E84" s="225">
        <f t="shared" si="4"/>
        <v>1181450.2500000002</v>
      </c>
      <c r="F84" s="215">
        <f t="shared" si="4"/>
        <v>1031497.89</v>
      </c>
      <c r="G84" s="217">
        <f t="shared" si="4"/>
        <v>10921385.33</v>
      </c>
      <c r="H84" s="215">
        <f t="shared" si="4"/>
        <v>10446038.45</v>
      </c>
    </row>
    <row r="85" spans="1:8" ht="11.25" customHeight="1">
      <c r="A85" s="224" t="s">
        <v>808</v>
      </c>
      <c r="B85" s="215">
        <v>16397800</v>
      </c>
      <c r="C85" s="135"/>
      <c r="D85" s="135"/>
      <c r="E85" s="135"/>
      <c r="F85" s="135"/>
      <c r="G85" s="135"/>
      <c r="H85" s="136"/>
    </row>
    <row r="86" spans="1:8" ht="11.25" customHeight="1">
      <c r="A86" s="582" t="s">
        <v>798</v>
      </c>
      <c r="B86" s="583">
        <f>B75+B84+B85</f>
        <v>1210450885.3</v>
      </c>
      <c r="C86" s="584">
        <f aca="true" t="shared" si="5" ref="C86:H86">C75+C84</f>
        <v>462911320.1999999</v>
      </c>
      <c r="D86" s="583">
        <f t="shared" si="5"/>
        <v>147707497.45000002</v>
      </c>
      <c r="E86" s="585">
        <f t="shared" si="5"/>
        <v>91363462.89000002</v>
      </c>
      <c r="F86" s="584">
        <f t="shared" si="5"/>
        <v>15154775.32</v>
      </c>
      <c r="G86" s="584">
        <f t="shared" si="5"/>
        <v>48400246.07</v>
      </c>
      <c r="H86" s="583">
        <f t="shared" si="5"/>
        <v>45270490.16</v>
      </c>
    </row>
    <row r="87" spans="1:8" ht="11.25" customHeight="1" hidden="1">
      <c r="A87" s="138"/>
      <c r="B87" s="155"/>
      <c r="C87" s="155"/>
      <c r="D87" s="176"/>
      <c r="E87" s="226"/>
      <c r="F87" s="155"/>
      <c r="G87" s="155"/>
      <c r="H87" s="176"/>
    </row>
    <row r="88" spans="1:8" ht="11.25" customHeight="1" hidden="1">
      <c r="A88" s="138"/>
      <c r="B88" s="155"/>
      <c r="C88" s="155"/>
      <c r="D88" s="176"/>
      <c r="E88" s="226"/>
      <c r="F88" s="155"/>
      <c r="G88" s="155"/>
      <c r="H88" s="176"/>
    </row>
    <row r="89" spans="1:8" ht="11.25" customHeight="1" hidden="1">
      <c r="A89" s="138"/>
      <c r="B89" s="155"/>
      <c r="C89" s="155"/>
      <c r="D89" s="176"/>
      <c r="E89" s="226"/>
      <c r="F89" s="155"/>
      <c r="G89" s="155"/>
      <c r="H89" s="176"/>
    </row>
    <row r="90" spans="1:8" ht="11.25" customHeight="1" hidden="1">
      <c r="A90" s="138"/>
      <c r="B90" s="155"/>
      <c r="C90" s="155"/>
      <c r="D90" s="176"/>
      <c r="E90" s="226"/>
      <c r="F90" s="155"/>
      <c r="G90" s="155"/>
      <c r="H90" s="176"/>
    </row>
    <row r="91" spans="1:8" ht="11.25" customHeight="1" hidden="1">
      <c r="A91" s="138"/>
      <c r="B91" s="155"/>
      <c r="C91" s="155"/>
      <c r="D91" s="176"/>
      <c r="E91" s="226"/>
      <c r="F91" s="155"/>
      <c r="G91" s="155"/>
      <c r="H91" s="176"/>
    </row>
    <row r="92" spans="1:8" ht="11.25" customHeight="1" hidden="1">
      <c r="A92" s="138"/>
      <c r="B92" s="155"/>
      <c r="C92" s="155"/>
      <c r="D92" s="176"/>
      <c r="E92" s="226"/>
      <c r="F92" s="155"/>
      <c r="G92" s="155"/>
      <c r="H92" s="176"/>
    </row>
    <row r="93" spans="1:8" ht="11.25" customHeight="1" hidden="1">
      <c r="A93" s="138"/>
      <c r="B93" s="155"/>
      <c r="C93" s="227"/>
      <c r="D93" s="228"/>
      <c r="E93" s="221"/>
      <c r="F93" s="227"/>
      <c r="G93" s="227"/>
      <c r="H93" s="228"/>
    </row>
    <row r="94" spans="1:8" ht="11.25" customHeight="1">
      <c r="A94" s="134"/>
      <c r="B94" s="128"/>
      <c r="C94" s="166"/>
      <c r="D94" s="166"/>
      <c r="E94" s="166"/>
      <c r="F94" s="166"/>
      <c r="G94" s="166"/>
      <c r="H94" s="166"/>
    </row>
    <row r="95" spans="1:8" ht="26.25" customHeight="1">
      <c r="A95" s="581" t="s">
        <v>763</v>
      </c>
      <c r="B95" s="567">
        <f>C60-(E86+F86+H86)</f>
        <v>62509064.25</v>
      </c>
      <c r="C95" s="166"/>
      <c r="D95" s="166"/>
      <c r="E95" s="166"/>
      <c r="F95" s="166"/>
      <c r="G95" s="166"/>
      <c r="H95" s="219"/>
    </row>
    <row r="96" ht="11.25" customHeight="1">
      <c r="C96" s="170"/>
    </row>
    <row r="97" spans="1:4" ht="11.25" customHeight="1" hidden="1">
      <c r="A97" s="229"/>
      <c r="B97" s="229"/>
      <c r="C97" s="229"/>
      <c r="D97" s="229"/>
    </row>
    <row r="98" spans="1:4" ht="11.25" customHeight="1" hidden="1">
      <c r="A98" s="229"/>
      <c r="B98" s="229"/>
      <c r="C98" s="229"/>
      <c r="D98" s="229"/>
    </row>
    <row r="99" spans="1:4" ht="11.25" customHeight="1" hidden="1">
      <c r="A99" s="229"/>
      <c r="B99" s="229"/>
      <c r="C99" s="229"/>
      <c r="D99" s="229"/>
    </row>
    <row r="100" ht="11.25" customHeight="1" hidden="1">
      <c r="C100" s="170"/>
    </row>
    <row r="101" ht="11.25" customHeight="1" hidden="1">
      <c r="C101" s="170"/>
    </row>
    <row r="102" spans="1:8" ht="11.25" customHeight="1">
      <c r="A102" s="781" t="s">
        <v>599</v>
      </c>
      <c r="B102" s="734" t="s">
        <v>600</v>
      </c>
      <c r="C102" s="209"/>
      <c r="D102" s="209"/>
      <c r="E102" s="209"/>
      <c r="F102" s="209"/>
      <c r="G102" s="209"/>
      <c r="H102" s="209"/>
    </row>
    <row r="103" spans="1:8" ht="11.25" customHeight="1">
      <c r="A103" s="782"/>
      <c r="B103" s="740"/>
      <c r="C103" s="209"/>
      <c r="D103" s="209"/>
      <c r="E103" s="209"/>
      <c r="F103" s="209"/>
      <c r="G103" s="209"/>
      <c r="H103" s="209"/>
    </row>
    <row r="104" spans="1:8" ht="25.5" customHeight="1">
      <c r="A104" s="230" t="s">
        <v>611</v>
      </c>
      <c r="B104" s="129">
        <v>18726000</v>
      </c>
      <c r="C104" s="231"/>
      <c r="D104" s="231"/>
      <c r="E104" s="231"/>
      <c r="F104" s="231"/>
      <c r="G104" s="231"/>
      <c r="H104" s="231"/>
    </row>
    <row r="105" spans="1:8" ht="25.5" customHeight="1" hidden="1">
      <c r="A105" s="147"/>
      <c r="B105" s="231"/>
      <c r="C105" s="231"/>
      <c r="D105" s="231"/>
      <c r="E105" s="231"/>
      <c r="F105" s="231"/>
      <c r="G105" s="231"/>
      <c r="H105" s="231"/>
    </row>
    <row r="106" ht="13.5" customHeight="1"/>
    <row r="107" spans="1:4" ht="11.25" customHeight="1" hidden="1">
      <c r="A107" s="212"/>
      <c r="B107" s="212"/>
      <c r="D107" s="212"/>
    </row>
    <row r="108" ht="11.25" customHeight="1" hidden="1"/>
    <row r="109" spans="1:4" s="212" customFormat="1" ht="11.25" customHeight="1" hidden="1">
      <c r="A109" s="170"/>
      <c r="B109" s="170"/>
      <c r="D109" s="170"/>
    </row>
    <row r="110" ht="11.25" customHeight="1" hidden="1"/>
    <row r="111" spans="1:8" s="212" customFormat="1" ht="11.25" customHeight="1">
      <c r="A111" s="779" t="s">
        <v>764</v>
      </c>
      <c r="B111" s="728" t="s">
        <v>765</v>
      </c>
      <c r="C111" s="58"/>
      <c r="D111" s="58"/>
      <c r="E111" s="58"/>
      <c r="F111" s="58"/>
      <c r="G111" s="58"/>
      <c r="H111" s="58"/>
    </row>
    <row r="112" spans="1:8" s="212" customFormat="1" ht="11.25" customHeight="1">
      <c r="A112" s="780"/>
      <c r="B112" s="783"/>
      <c r="C112" s="58"/>
      <c r="D112" s="58"/>
      <c r="E112" s="58"/>
      <c r="F112" s="58"/>
      <c r="G112" s="58"/>
      <c r="H112" s="58"/>
    </row>
    <row r="113" spans="1:8" ht="11.25" customHeight="1">
      <c r="A113" s="224" t="s">
        <v>766</v>
      </c>
      <c r="B113" s="118">
        <v>5327387.27</v>
      </c>
      <c r="C113" s="58"/>
      <c r="D113" s="58"/>
      <c r="E113" s="58"/>
      <c r="F113" s="58"/>
      <c r="G113" s="58"/>
      <c r="H113" s="58"/>
    </row>
    <row r="114" spans="1:8" ht="11.25" customHeight="1">
      <c r="A114" s="232" t="s">
        <v>767</v>
      </c>
      <c r="B114" s="133">
        <v>676102.14</v>
      </c>
      <c r="C114" s="58"/>
      <c r="D114" s="58"/>
      <c r="E114" s="58"/>
      <c r="F114" s="58"/>
      <c r="G114" s="58"/>
      <c r="H114" s="58"/>
    </row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spans="1:8" ht="32.25" customHeight="1">
      <c r="A123" s="580" t="s">
        <v>768</v>
      </c>
      <c r="B123" s="567">
        <f>B95+(B113-B114)</f>
        <v>67160349.38</v>
      </c>
      <c r="C123" s="58"/>
      <c r="D123" s="58"/>
      <c r="E123" s="58"/>
      <c r="F123" s="58"/>
      <c r="G123" s="58"/>
      <c r="H123" s="58"/>
    </row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spans="1:8" ht="11.25" customHeight="1">
      <c r="A130" s="777" t="s">
        <v>769</v>
      </c>
      <c r="B130" s="728" t="s">
        <v>600</v>
      </c>
      <c r="C130" s="58"/>
      <c r="D130" s="58"/>
      <c r="E130" s="58"/>
      <c r="F130" s="58"/>
      <c r="G130" s="58"/>
      <c r="H130" s="58"/>
    </row>
    <row r="131" spans="1:8" ht="11.25" customHeight="1">
      <c r="A131" s="778"/>
      <c r="B131" s="783"/>
      <c r="C131" s="58"/>
      <c r="D131" s="58"/>
      <c r="E131" s="58"/>
      <c r="F131" s="58"/>
      <c r="G131" s="58"/>
      <c r="H131" s="58"/>
    </row>
    <row r="132" spans="1:8" ht="25.5">
      <c r="A132" s="233" t="s">
        <v>770</v>
      </c>
      <c r="B132" s="129">
        <v>0</v>
      </c>
      <c r="C132" s="234"/>
      <c r="D132" s="234"/>
      <c r="E132" s="234"/>
      <c r="F132" s="234"/>
      <c r="G132" s="234"/>
      <c r="H132" s="234"/>
    </row>
    <row r="133" spans="1:8" ht="12.75" customHeight="1" hidden="1">
      <c r="A133" s="235"/>
      <c r="B133" s="236"/>
      <c r="C133" s="236"/>
      <c r="D133" s="236"/>
      <c r="E133" s="236"/>
      <c r="F133" s="236"/>
      <c r="G133" s="236"/>
      <c r="H133" s="236"/>
    </row>
    <row r="134" spans="1:8" ht="12.75" customHeight="1" hidden="1">
      <c r="A134" s="235"/>
      <c r="B134" s="236"/>
      <c r="C134" s="236"/>
      <c r="D134" s="236"/>
      <c r="E134" s="236"/>
      <c r="F134" s="236"/>
      <c r="G134" s="236"/>
      <c r="H134" s="236"/>
    </row>
    <row r="148" spans="1:8" ht="11.25" customHeight="1">
      <c r="A148" s="797" t="s">
        <v>771</v>
      </c>
      <c r="B148" s="798"/>
      <c r="C148" s="799"/>
      <c r="D148" s="237"/>
      <c r="E148" s="237"/>
      <c r="F148" s="237"/>
      <c r="G148" s="237"/>
      <c r="H148" s="237"/>
    </row>
    <row r="149" spans="1:8" ht="11.25" customHeight="1">
      <c r="A149" s="800"/>
      <c r="B149" s="801"/>
      <c r="C149" s="802"/>
      <c r="D149" s="237"/>
      <c r="E149" s="237"/>
      <c r="F149" s="237"/>
      <c r="G149" s="237"/>
      <c r="H149" s="237"/>
    </row>
    <row r="150" spans="1:8" ht="11.25" customHeight="1">
      <c r="A150" s="574"/>
      <c r="B150" s="795" t="s">
        <v>107</v>
      </c>
      <c r="C150" s="796"/>
      <c r="D150" s="73"/>
      <c r="E150" s="73"/>
      <c r="F150" s="73"/>
      <c r="G150" s="73"/>
      <c r="H150" s="73"/>
    </row>
    <row r="151" spans="1:8" ht="27.75" customHeight="1">
      <c r="A151" s="576" t="s">
        <v>772</v>
      </c>
      <c r="B151" s="577" t="s">
        <v>790</v>
      </c>
      <c r="C151" s="548" t="str">
        <f>IF(_xlfn.IFERROR(FIND("TRIMESTRE",A13,1),0)&gt;0,"Até o Trimestre",IF(_xlfn.IFERROR(FIND("BIMESTRE",A13,1),0)&gt;0,"Até o Bimestre","Até o Mês"))</f>
        <v>Até o Mês</v>
      </c>
      <c r="D151" s="238"/>
      <c r="E151" s="238"/>
      <c r="F151" s="212"/>
      <c r="G151" s="212"/>
      <c r="H151" s="212"/>
    </row>
    <row r="152" spans="1:8" ht="11.25" customHeight="1">
      <c r="A152" s="578"/>
      <c r="B152" s="579" t="s">
        <v>79</v>
      </c>
      <c r="C152" s="572" t="s">
        <v>80</v>
      </c>
      <c r="D152" s="73"/>
      <c r="E152" s="73"/>
      <c r="F152" s="212"/>
      <c r="G152" s="212"/>
      <c r="H152" s="212"/>
    </row>
    <row r="153" spans="1:8" ht="11.25" customHeight="1">
      <c r="A153" s="239" t="s">
        <v>773</v>
      </c>
      <c r="B153" s="117">
        <v>46582581.68</v>
      </c>
      <c r="C153" s="119">
        <v>45590692.52</v>
      </c>
      <c r="D153" s="60"/>
      <c r="E153" s="240"/>
      <c r="F153" s="212"/>
      <c r="G153" s="212"/>
      <c r="H153" s="212"/>
    </row>
    <row r="154" spans="1:8" ht="11.25" customHeight="1">
      <c r="A154" s="224" t="s">
        <v>774</v>
      </c>
      <c r="B154" s="116">
        <f>B155+B158</f>
        <v>460802774.45</v>
      </c>
      <c r="C154" s="118">
        <f>C155+C158</f>
        <v>486946813.44</v>
      </c>
      <c r="D154" s="60"/>
      <c r="E154" s="240"/>
      <c r="F154" s="212"/>
      <c r="G154" s="212"/>
      <c r="H154" s="212"/>
    </row>
    <row r="155" spans="1:8" ht="11.25" customHeight="1">
      <c r="A155" s="241" t="s">
        <v>668</v>
      </c>
      <c r="B155" s="116">
        <f>IF(B156&gt;B157,B156-B157,0)</f>
        <v>460282570.51</v>
      </c>
      <c r="C155" s="118">
        <f>IF(C156&gt;C157,C156-C157,0)</f>
        <v>486238322.04</v>
      </c>
      <c r="D155" s="60"/>
      <c r="E155" s="240"/>
      <c r="F155" s="212"/>
      <c r="G155" s="212"/>
      <c r="H155" s="212"/>
    </row>
    <row r="156" spans="1:8" ht="11.25" customHeight="1">
      <c r="A156" s="241" t="s">
        <v>775</v>
      </c>
      <c r="B156" s="116">
        <v>475720412.7</v>
      </c>
      <c r="C156" s="118">
        <v>545992104.5</v>
      </c>
      <c r="D156" s="60"/>
      <c r="E156" s="240"/>
      <c r="F156" s="212"/>
      <c r="G156" s="212"/>
      <c r="H156" s="212"/>
    </row>
    <row r="157" spans="1:8" ht="11.25" customHeight="1">
      <c r="A157" s="241" t="s">
        <v>776</v>
      </c>
      <c r="B157" s="116">
        <v>15437842.19</v>
      </c>
      <c r="C157" s="118">
        <v>59753782.46</v>
      </c>
      <c r="D157" s="60"/>
      <c r="E157" s="240"/>
      <c r="F157" s="212"/>
      <c r="G157" s="212"/>
      <c r="H157" s="212"/>
    </row>
    <row r="158" spans="1:8" ht="11.25" customHeight="1">
      <c r="A158" s="241" t="s">
        <v>597</v>
      </c>
      <c r="B158" s="116">
        <v>520203.94</v>
      </c>
      <c r="C158" s="118">
        <v>708491.4</v>
      </c>
      <c r="D158" s="60"/>
      <c r="E158" s="240"/>
      <c r="F158" s="212"/>
      <c r="G158" s="212"/>
      <c r="H158" s="212"/>
    </row>
    <row r="159" spans="1:8" ht="11.25" customHeight="1">
      <c r="A159" s="232" t="s">
        <v>777</v>
      </c>
      <c r="B159" s="132">
        <f>B153-B154</f>
        <v>-414220192.77</v>
      </c>
      <c r="C159" s="133">
        <f>C153-C154</f>
        <v>-441356120.92</v>
      </c>
      <c r="D159" s="60"/>
      <c r="E159" s="240"/>
      <c r="F159" s="212"/>
      <c r="G159" s="212"/>
      <c r="H159" s="212"/>
    </row>
    <row r="160" spans="1:8" ht="11.25" customHeight="1" hidden="1">
      <c r="A160" s="224"/>
      <c r="B160" s="57"/>
      <c r="C160" s="57"/>
      <c r="D160" s="60"/>
      <c r="E160" s="240"/>
      <c r="F160" s="212"/>
      <c r="G160" s="212"/>
      <c r="H160" s="212"/>
    </row>
    <row r="161" spans="1:8" ht="11.25" customHeight="1" hidden="1">
      <c r="A161" s="224"/>
      <c r="B161" s="60"/>
      <c r="C161" s="60"/>
      <c r="D161" s="60"/>
      <c r="E161" s="240"/>
      <c r="F161" s="212"/>
      <c r="G161" s="212"/>
      <c r="H161" s="212"/>
    </row>
    <row r="162" spans="1:8" ht="11.25" customHeight="1" hidden="1">
      <c r="A162" s="224"/>
      <c r="B162" s="60"/>
      <c r="C162" s="60"/>
      <c r="D162" s="60"/>
      <c r="E162" s="240"/>
      <c r="F162" s="212"/>
      <c r="G162" s="212"/>
      <c r="H162" s="212"/>
    </row>
    <row r="163" spans="1:8" ht="11.25" customHeight="1" hidden="1">
      <c r="A163" s="224"/>
      <c r="B163" s="60"/>
      <c r="C163" s="60"/>
      <c r="D163" s="60"/>
      <c r="E163" s="240"/>
      <c r="F163" s="212"/>
      <c r="G163" s="212"/>
      <c r="H163" s="212"/>
    </row>
    <row r="164" spans="1:8" ht="11.25" customHeight="1" hidden="1">
      <c r="A164" s="224"/>
      <c r="B164" s="60"/>
      <c r="C164" s="60"/>
      <c r="D164" s="60"/>
      <c r="E164" s="240"/>
      <c r="F164" s="212"/>
      <c r="G164" s="212"/>
      <c r="H164" s="212"/>
    </row>
    <row r="165" spans="1:8" ht="11.25" customHeight="1" hidden="1">
      <c r="A165" s="224"/>
      <c r="B165" s="60"/>
      <c r="C165" s="60"/>
      <c r="D165" s="60"/>
      <c r="E165" s="240"/>
      <c r="F165" s="212"/>
      <c r="G165" s="212"/>
      <c r="H165" s="212"/>
    </row>
    <row r="166" spans="1:8" ht="11.25" customHeight="1" hidden="1">
      <c r="A166" s="224"/>
      <c r="B166" s="60"/>
      <c r="C166" s="60"/>
      <c r="D166" s="60"/>
      <c r="E166" s="240"/>
      <c r="F166" s="212"/>
      <c r="G166" s="212"/>
      <c r="H166" s="212"/>
    </row>
    <row r="167" spans="1:8" ht="11.25" customHeight="1">
      <c r="A167" s="224"/>
      <c r="B167" s="60"/>
      <c r="C167" s="60"/>
      <c r="D167" s="60"/>
      <c r="E167" s="240"/>
      <c r="F167" s="212"/>
      <c r="G167" s="212"/>
      <c r="H167" s="212"/>
    </row>
    <row r="168" spans="1:8" ht="11.25" customHeight="1">
      <c r="A168" s="573" t="s">
        <v>778</v>
      </c>
      <c r="B168" s="567">
        <f>B159-C159</f>
        <v>27135928.150000036</v>
      </c>
      <c r="C168" s="60"/>
      <c r="D168" s="60"/>
      <c r="E168" s="60"/>
      <c r="F168" s="60"/>
      <c r="G168" s="60"/>
      <c r="H168" s="60"/>
    </row>
    <row r="169" spans="1:8" ht="11.25" customHeight="1">
      <c r="A169" s="242"/>
      <c r="B169" s="60"/>
      <c r="C169" s="60"/>
      <c r="D169" s="60"/>
      <c r="E169" s="60"/>
      <c r="F169" s="60"/>
      <c r="G169" s="60"/>
      <c r="H169" s="60"/>
    </row>
    <row r="170" spans="1:8" ht="11.25" customHeight="1" hidden="1">
      <c r="A170" s="243"/>
      <c r="B170" s="60"/>
      <c r="C170" s="60"/>
      <c r="D170" s="60"/>
      <c r="E170" s="60"/>
      <c r="F170" s="60"/>
      <c r="G170" s="60"/>
      <c r="H170" s="60"/>
    </row>
    <row r="171" spans="1:8" ht="11.25" customHeight="1" hidden="1">
      <c r="A171" s="243"/>
      <c r="B171" s="60"/>
      <c r="C171" s="60"/>
      <c r="D171" s="60"/>
      <c r="E171" s="60"/>
      <c r="F171" s="60"/>
      <c r="G171" s="60"/>
      <c r="H171" s="60"/>
    </row>
    <row r="172" spans="1:8" ht="11.25" customHeight="1" hidden="1">
      <c r="A172" s="243"/>
      <c r="B172" s="60"/>
      <c r="C172" s="60"/>
      <c r="D172" s="60"/>
      <c r="E172" s="60"/>
      <c r="F172" s="60"/>
      <c r="G172" s="60"/>
      <c r="H172" s="60"/>
    </row>
    <row r="173" spans="1:8" ht="11.25" customHeight="1" hidden="1">
      <c r="A173" s="243"/>
      <c r="B173" s="60"/>
      <c r="C173" s="60"/>
      <c r="D173" s="60"/>
      <c r="E173" s="60"/>
      <c r="F173" s="60"/>
      <c r="G173" s="60"/>
      <c r="H173" s="60"/>
    </row>
    <row r="174" spans="1:8" ht="11.25" customHeight="1">
      <c r="A174" s="569"/>
      <c r="B174" s="728" t="str">
        <f>IF(_xlfn.IFERROR(FIND("TRIMESTRE",A13,1),0)&gt;0,"Até o Trimestre",IF(_xlfn.IFERROR(FIND("BIMESTRE",A13,1),0)&gt;0,"Até o Bimestre","Até o Mês"))</f>
        <v>Até o Mês</v>
      </c>
      <c r="C174" s="58"/>
      <c r="D174" s="58"/>
      <c r="E174" s="58"/>
      <c r="F174" s="58"/>
      <c r="G174" s="58"/>
      <c r="H174" s="58"/>
    </row>
    <row r="175" spans="1:8" ht="11.25" customHeight="1">
      <c r="A175" s="570" t="s">
        <v>779</v>
      </c>
      <c r="B175" s="788"/>
      <c r="C175" s="58"/>
      <c r="D175" s="58"/>
      <c r="E175" s="58"/>
      <c r="F175" s="58"/>
      <c r="G175" s="58"/>
      <c r="H175" s="58"/>
    </row>
    <row r="176" spans="1:8" ht="11.25" customHeight="1">
      <c r="A176" s="241"/>
      <c r="B176" s="783"/>
      <c r="C176" s="58"/>
      <c r="D176" s="58"/>
      <c r="E176" s="58"/>
      <c r="F176" s="58"/>
      <c r="G176" s="58"/>
      <c r="H176" s="58"/>
    </row>
    <row r="177" spans="1:8" ht="11.25" customHeight="1">
      <c r="A177" s="244" t="s">
        <v>780</v>
      </c>
      <c r="B177" s="118">
        <f>B157-C157</f>
        <v>-44315940.27</v>
      </c>
      <c r="C177" s="240"/>
      <c r="D177" s="245"/>
      <c r="E177" s="245"/>
      <c r="F177" s="240"/>
      <c r="G177" s="240"/>
      <c r="H177" s="240"/>
    </row>
    <row r="178" spans="1:8" ht="11.25" customHeight="1">
      <c r="A178" s="120" t="s">
        <v>781</v>
      </c>
      <c r="B178" s="118">
        <f>C51</f>
        <v>0</v>
      </c>
      <c r="C178" s="240"/>
      <c r="D178" s="245"/>
      <c r="E178" s="245"/>
      <c r="F178" s="240"/>
      <c r="G178" s="240"/>
      <c r="H178" s="240"/>
    </row>
    <row r="179" spans="1:8" ht="11.25" customHeight="1">
      <c r="A179" s="120" t="s">
        <v>782</v>
      </c>
      <c r="B179" s="118"/>
      <c r="C179" s="240"/>
      <c r="D179" s="245"/>
      <c r="E179" s="245"/>
      <c r="F179" s="240"/>
      <c r="G179" s="240"/>
      <c r="H179" s="240"/>
    </row>
    <row r="180" spans="1:8" ht="11.25" customHeight="1">
      <c r="A180" s="120" t="s">
        <v>858</v>
      </c>
      <c r="B180" s="21"/>
      <c r="C180" s="240"/>
      <c r="D180" s="245"/>
      <c r="E180" s="245"/>
      <c r="F180" s="240"/>
      <c r="G180" s="240"/>
      <c r="H180" s="240"/>
    </row>
    <row r="181" spans="1:8" ht="11.25" customHeight="1">
      <c r="A181" s="120" t="s">
        <v>859</v>
      </c>
      <c r="B181" s="21"/>
      <c r="C181" s="240"/>
      <c r="D181" s="245"/>
      <c r="E181" s="245"/>
      <c r="F181" s="240"/>
      <c r="G181" s="240"/>
      <c r="H181" s="240"/>
    </row>
    <row r="182" spans="1:8" ht="11.25" customHeight="1">
      <c r="A182" s="120" t="s">
        <v>910</v>
      </c>
      <c r="B182" s="21"/>
      <c r="C182" s="240"/>
      <c r="D182" s="245"/>
      <c r="E182" s="245"/>
      <c r="F182" s="240"/>
      <c r="G182" s="240"/>
      <c r="H182" s="240"/>
    </row>
    <row r="183" spans="1:8" ht="11.25" customHeight="1">
      <c r="A183" s="120" t="s">
        <v>911</v>
      </c>
      <c r="B183" s="118"/>
      <c r="C183" s="240"/>
      <c r="D183" s="245"/>
      <c r="E183" s="245"/>
      <c r="F183" s="240"/>
      <c r="G183" s="240"/>
      <c r="H183" s="240"/>
    </row>
    <row r="184" spans="1:8" ht="38.25">
      <c r="A184" s="568" t="s">
        <v>912</v>
      </c>
      <c r="B184" s="567">
        <f>B168-B177-B178+B179+B180-B181+B182+B183</f>
        <v>71451868.42000005</v>
      </c>
      <c r="C184" s="39"/>
      <c r="D184" s="39"/>
      <c r="E184" s="39"/>
      <c r="F184" s="39"/>
      <c r="G184" s="39"/>
      <c r="H184" s="39"/>
    </row>
    <row r="185" spans="1:9" ht="11.25" customHeight="1">
      <c r="A185" s="246"/>
      <c r="B185" s="247"/>
      <c r="C185" s="240"/>
      <c r="D185" s="240"/>
      <c r="E185" s="240"/>
      <c r="F185" s="240"/>
      <c r="G185" s="240"/>
      <c r="H185" s="240"/>
      <c r="I185" s="212"/>
    </row>
    <row r="186" spans="1:9" ht="11.25" customHeight="1" hidden="1">
      <c r="A186" s="246"/>
      <c r="B186" s="247"/>
      <c r="C186" s="240"/>
      <c r="D186" s="240"/>
      <c r="E186" s="240"/>
      <c r="F186" s="240"/>
      <c r="G186" s="240"/>
      <c r="H186" s="240"/>
      <c r="I186" s="212"/>
    </row>
    <row r="187" spans="1:9" ht="11.25" customHeight="1" hidden="1">
      <c r="A187" s="246"/>
      <c r="B187" s="247"/>
      <c r="C187" s="240"/>
      <c r="D187" s="240"/>
      <c r="E187" s="240"/>
      <c r="F187" s="240"/>
      <c r="G187" s="240"/>
      <c r="H187" s="240"/>
      <c r="I187" s="212"/>
    </row>
    <row r="188" spans="1:9" ht="11.25" customHeight="1" hidden="1">
      <c r="A188" s="246"/>
      <c r="B188" s="247"/>
      <c r="C188" s="240"/>
      <c r="D188" s="240"/>
      <c r="E188" s="240"/>
      <c r="F188" s="240"/>
      <c r="G188" s="240"/>
      <c r="H188" s="240"/>
      <c r="I188" s="212"/>
    </row>
    <row r="189" spans="1:9" ht="11.25" customHeight="1" hidden="1">
      <c r="A189" s="246"/>
      <c r="B189" s="247"/>
      <c r="C189" s="240"/>
      <c r="D189" s="240"/>
      <c r="E189" s="240"/>
      <c r="F189" s="240"/>
      <c r="G189" s="240"/>
      <c r="H189" s="240"/>
      <c r="I189" s="212"/>
    </row>
    <row r="190" spans="1:9" ht="11.25" customHeight="1" hidden="1">
      <c r="A190" s="246"/>
      <c r="B190" s="247"/>
      <c r="C190" s="240"/>
      <c r="D190" s="240"/>
      <c r="E190" s="240"/>
      <c r="F190" s="240"/>
      <c r="G190" s="240"/>
      <c r="H190" s="240"/>
      <c r="I190" s="212"/>
    </row>
    <row r="191" spans="1:9" ht="11.25" customHeight="1" hidden="1">
      <c r="A191" s="246"/>
      <c r="B191" s="247"/>
      <c r="C191" s="240"/>
      <c r="D191" s="240"/>
      <c r="E191" s="240"/>
      <c r="F191" s="240"/>
      <c r="G191" s="240"/>
      <c r="H191" s="240"/>
      <c r="I191" s="212"/>
    </row>
    <row r="192" spans="1:9" ht="11.25" customHeight="1" hidden="1">
      <c r="A192" s="246"/>
      <c r="B192" s="247"/>
      <c r="C192" s="240"/>
      <c r="D192" s="240"/>
      <c r="E192" s="240"/>
      <c r="F192" s="240"/>
      <c r="G192" s="240"/>
      <c r="H192" s="240"/>
      <c r="I192" s="212"/>
    </row>
    <row r="193" spans="1:9" ht="25.5">
      <c r="A193" s="566" t="s">
        <v>913</v>
      </c>
      <c r="B193" s="567">
        <f>B184-(B113-B114)</f>
        <v>66800583.290000044</v>
      </c>
      <c r="C193" s="58"/>
      <c r="D193" s="58"/>
      <c r="E193" s="58"/>
      <c r="F193" s="58"/>
      <c r="G193" s="58"/>
      <c r="H193" s="58"/>
      <c r="I193" s="212"/>
    </row>
    <row r="194" spans="1:8" ht="11.25" customHeight="1">
      <c r="A194" s="248"/>
      <c r="B194" s="74"/>
      <c r="C194" s="240"/>
      <c r="D194" s="74"/>
      <c r="E194" s="74"/>
      <c r="F194" s="74"/>
      <c r="G194" s="74"/>
      <c r="H194" s="74"/>
    </row>
    <row r="195" spans="1:8" ht="11.25" customHeight="1" hidden="1">
      <c r="A195" s="249"/>
      <c r="B195" s="74"/>
      <c r="C195" s="240"/>
      <c r="D195" s="74"/>
      <c r="E195" s="74"/>
      <c r="F195" s="74"/>
      <c r="G195" s="74"/>
      <c r="H195" s="74"/>
    </row>
    <row r="196" spans="1:8" ht="11.25" customHeight="1" hidden="1">
      <c r="A196" s="249"/>
      <c r="B196" s="74"/>
      <c r="C196" s="240"/>
      <c r="D196" s="74"/>
      <c r="E196" s="74"/>
      <c r="F196" s="74"/>
      <c r="G196" s="74"/>
      <c r="H196" s="74"/>
    </row>
    <row r="197" spans="1:8" ht="11.25" customHeight="1" hidden="1">
      <c r="A197" s="249"/>
      <c r="B197" s="74"/>
      <c r="C197" s="240"/>
      <c r="D197" s="74"/>
      <c r="E197" s="74"/>
      <c r="F197" s="74"/>
      <c r="G197" s="74"/>
      <c r="H197" s="74"/>
    </row>
    <row r="198" spans="1:8" ht="11.25" customHeight="1" hidden="1">
      <c r="A198" s="249"/>
      <c r="B198" s="74"/>
      <c r="C198" s="240"/>
      <c r="D198" s="74"/>
      <c r="E198" s="74"/>
      <c r="F198" s="74"/>
      <c r="G198" s="74"/>
      <c r="H198" s="74"/>
    </row>
    <row r="199" spans="1:8" ht="11.25" customHeight="1" hidden="1">
      <c r="A199" s="249"/>
      <c r="B199" s="74"/>
      <c r="C199" s="240"/>
      <c r="D199" s="74"/>
      <c r="E199" s="74"/>
      <c r="F199" s="74"/>
      <c r="G199" s="74"/>
      <c r="H199" s="74"/>
    </row>
    <row r="200" spans="1:8" ht="12.75" customHeight="1">
      <c r="A200" s="781" t="s">
        <v>783</v>
      </c>
      <c r="B200" s="734" t="s">
        <v>86</v>
      </c>
      <c r="C200" s="188"/>
      <c r="D200" s="188"/>
      <c r="E200" s="188"/>
      <c r="F200" s="188"/>
      <c r="G200" s="188"/>
      <c r="H200" s="188"/>
    </row>
    <row r="201" spans="1:8" ht="12.75">
      <c r="A201" s="782"/>
      <c r="B201" s="740"/>
      <c r="C201" s="188"/>
      <c r="D201" s="188"/>
      <c r="E201" s="188"/>
      <c r="F201" s="188"/>
      <c r="G201" s="188"/>
      <c r="H201" s="188"/>
    </row>
    <row r="202" spans="1:8" ht="12.75">
      <c r="A202" s="169" t="s">
        <v>856</v>
      </c>
      <c r="B202" s="21">
        <f>B203+B204</f>
        <v>48921084.99</v>
      </c>
      <c r="C202" s="188"/>
      <c r="D202" s="188"/>
      <c r="E202" s="188"/>
      <c r="F202" s="188"/>
      <c r="G202" s="188"/>
      <c r="H202" s="188"/>
    </row>
    <row r="203" spans="1:8" ht="11.25" customHeight="1">
      <c r="A203" s="250" t="s">
        <v>860</v>
      </c>
      <c r="B203" s="21"/>
      <c r="C203" s="60"/>
      <c r="D203" s="60"/>
      <c r="E203" s="60"/>
      <c r="F203" s="60"/>
      <c r="G203" s="60"/>
      <c r="H203" s="60"/>
    </row>
    <row r="204" spans="1:8" ht="25.5">
      <c r="A204" s="251" t="s">
        <v>861</v>
      </c>
      <c r="B204" s="21">
        <v>48921084.99</v>
      </c>
      <c r="C204" s="60"/>
      <c r="D204" s="60"/>
      <c r="E204" s="60"/>
      <c r="F204" s="60"/>
      <c r="G204" s="60"/>
      <c r="H204" s="60"/>
    </row>
    <row r="205" spans="1:8" ht="11.25" customHeight="1">
      <c r="A205" s="142" t="s">
        <v>784</v>
      </c>
      <c r="B205" s="77">
        <v>25470000</v>
      </c>
      <c r="C205" s="238"/>
      <c r="D205" s="238"/>
      <c r="E205" s="238"/>
      <c r="F205" s="238"/>
      <c r="G205" s="238"/>
      <c r="H205" s="238"/>
    </row>
    <row r="206" ht="11.25" customHeight="1" hidden="1">
      <c r="A206" s="252"/>
    </row>
    <row r="207" ht="11.25" customHeight="1" hidden="1">
      <c r="A207" s="253"/>
    </row>
    <row r="208" spans="1:8" ht="11.25" customHeight="1" hidden="1">
      <c r="A208" s="74"/>
      <c r="B208" s="74"/>
      <c r="C208" s="240"/>
      <c r="D208" s="74"/>
      <c r="E208" s="74"/>
      <c r="F208" s="74"/>
      <c r="G208" s="74"/>
      <c r="H208" s="74"/>
    </row>
    <row r="209" spans="1:8" ht="11.25" customHeight="1" hidden="1">
      <c r="A209" s="74"/>
      <c r="B209" s="74"/>
      <c r="C209" s="240"/>
      <c r="D209" s="74"/>
      <c r="E209" s="74"/>
      <c r="F209" s="74"/>
      <c r="G209" s="74"/>
      <c r="H209" s="74"/>
    </row>
    <row r="210" spans="1:8" ht="11.25" customHeight="1" hidden="1">
      <c r="A210" s="810" t="s">
        <v>785</v>
      </c>
      <c r="B210" s="811"/>
      <c r="C210" s="811"/>
      <c r="D210" s="812"/>
      <c r="E210" s="254"/>
      <c r="F210" s="254"/>
      <c r="G210" s="254"/>
      <c r="H210" s="254"/>
    </row>
    <row r="211" spans="1:8" ht="11.25" customHeight="1" hidden="1">
      <c r="A211" s="813"/>
      <c r="B211" s="814"/>
      <c r="C211" s="814"/>
      <c r="D211" s="815"/>
      <c r="E211" s="254"/>
      <c r="F211" s="254"/>
      <c r="G211" s="254"/>
      <c r="H211" s="254"/>
    </row>
    <row r="212" spans="1:8" ht="11.25" customHeight="1" hidden="1">
      <c r="A212" s="255"/>
      <c r="B212" s="818" t="s">
        <v>197</v>
      </c>
      <c r="C212" s="784" t="s">
        <v>72</v>
      </c>
      <c r="D212" s="785"/>
      <c r="E212" s="209"/>
      <c r="F212" s="212"/>
      <c r="G212" s="209"/>
      <c r="H212" s="209"/>
    </row>
    <row r="213" spans="1:8" ht="11.25" customHeight="1" hidden="1">
      <c r="A213" s="256" t="s">
        <v>606</v>
      </c>
      <c r="B213" s="819"/>
      <c r="C213" s="257" t="s">
        <v>150</v>
      </c>
      <c r="D213" s="257" t="s">
        <v>150</v>
      </c>
      <c r="E213" s="188"/>
      <c r="F213" s="212"/>
      <c r="G213" s="188"/>
      <c r="H213" s="188"/>
    </row>
    <row r="214" spans="1:8" ht="11.25" customHeight="1" hidden="1">
      <c r="A214" s="258"/>
      <c r="B214" s="820"/>
      <c r="C214" s="259" t="s">
        <v>151</v>
      </c>
      <c r="D214" s="260" t="s">
        <v>152</v>
      </c>
      <c r="E214" s="209"/>
      <c r="F214" s="212"/>
      <c r="G214" s="188"/>
      <c r="H214" s="188"/>
    </row>
    <row r="215" spans="1:8" ht="11.25" customHeight="1" hidden="1">
      <c r="A215" s="261" t="s">
        <v>786</v>
      </c>
      <c r="B215" s="262"/>
      <c r="C215" s="263"/>
      <c r="D215" s="264"/>
      <c r="E215" s="177"/>
      <c r="F215" s="177"/>
      <c r="G215" s="177"/>
      <c r="H215" s="177"/>
    </row>
    <row r="216" spans="1:8" ht="11.25" customHeight="1" hidden="1">
      <c r="A216" s="246"/>
      <c r="B216" s="240"/>
      <c r="C216" s="240"/>
      <c r="D216" s="240"/>
      <c r="E216" s="240"/>
      <c r="F216" s="240"/>
      <c r="G216" s="240"/>
      <c r="H216" s="265"/>
    </row>
    <row r="217" spans="1:8" ht="11.25" customHeight="1" hidden="1">
      <c r="A217" s="246"/>
      <c r="B217" s="240"/>
      <c r="C217" s="240"/>
      <c r="D217" s="240"/>
      <c r="E217" s="240"/>
      <c r="F217" s="240"/>
      <c r="G217" s="240"/>
      <c r="H217" s="265"/>
    </row>
    <row r="218" spans="1:8" ht="11.25" customHeight="1" hidden="1">
      <c r="A218" s="246"/>
      <c r="B218" s="240"/>
      <c r="C218" s="240"/>
      <c r="D218" s="240"/>
      <c r="E218" s="240"/>
      <c r="F218" s="240"/>
      <c r="G218" s="240"/>
      <c r="H218" s="265"/>
    </row>
    <row r="219" spans="1:8" ht="11.25" customHeight="1" hidden="1">
      <c r="A219" s="246"/>
      <c r="B219" s="240"/>
      <c r="C219" s="240"/>
      <c r="D219" s="240"/>
      <c r="E219" s="240"/>
      <c r="F219" s="240"/>
      <c r="G219" s="240"/>
      <c r="H219" s="265"/>
    </row>
    <row r="220" spans="1:8" ht="11.25" customHeight="1" hidden="1">
      <c r="A220" s="246"/>
      <c r="B220" s="240"/>
      <c r="C220" s="240"/>
      <c r="D220" s="240"/>
      <c r="E220" s="240"/>
      <c r="F220" s="240"/>
      <c r="G220" s="240"/>
      <c r="H220" s="265"/>
    </row>
    <row r="221" spans="1:8" ht="11.25" customHeight="1" hidden="1">
      <c r="A221" s="246"/>
      <c r="B221" s="240"/>
      <c r="C221" s="240"/>
      <c r="D221" s="240"/>
      <c r="E221" s="240"/>
      <c r="F221" s="240"/>
      <c r="G221" s="240"/>
      <c r="H221" s="265"/>
    </row>
    <row r="222" spans="1:8" ht="11.25" customHeight="1" hidden="1">
      <c r="A222" s="255"/>
      <c r="B222" s="257" t="s">
        <v>103</v>
      </c>
      <c r="C222" s="784" t="s">
        <v>104</v>
      </c>
      <c r="D222" s="785"/>
      <c r="E222" s="784" t="s">
        <v>105</v>
      </c>
      <c r="F222" s="785"/>
      <c r="G222" s="784" t="s">
        <v>320</v>
      </c>
      <c r="H222" s="785"/>
    </row>
    <row r="223" spans="1:8" ht="11.25" customHeight="1" hidden="1">
      <c r="A223" s="256" t="s">
        <v>607</v>
      </c>
      <c r="B223" s="266" t="s">
        <v>75</v>
      </c>
      <c r="C223" s="267" t="s">
        <v>150</v>
      </c>
      <c r="D223" s="267" t="s">
        <v>150</v>
      </c>
      <c r="E223" s="267" t="s">
        <v>150</v>
      </c>
      <c r="F223" s="268" t="s">
        <v>150</v>
      </c>
      <c r="G223" s="786" t="s">
        <v>476</v>
      </c>
      <c r="H223" s="786" t="s">
        <v>477</v>
      </c>
    </row>
    <row r="224" spans="1:8" ht="11.25" customHeight="1" hidden="1">
      <c r="A224" s="258"/>
      <c r="B224" s="258"/>
      <c r="C224" s="269" t="s">
        <v>151</v>
      </c>
      <c r="D224" s="270" t="s">
        <v>152</v>
      </c>
      <c r="E224" s="269" t="s">
        <v>151</v>
      </c>
      <c r="F224" s="270" t="s">
        <v>152</v>
      </c>
      <c r="G224" s="787"/>
      <c r="H224" s="787"/>
    </row>
    <row r="225" spans="1:8" ht="11.25" customHeight="1" hidden="1">
      <c r="A225" s="271" t="s">
        <v>609</v>
      </c>
      <c r="B225" s="272"/>
      <c r="C225" s="273"/>
      <c r="D225" s="273"/>
      <c r="E225" s="273"/>
      <c r="F225" s="273"/>
      <c r="G225" s="273"/>
      <c r="H225" s="272"/>
    </row>
    <row r="226" spans="1:8" ht="11.25" customHeight="1" hidden="1">
      <c r="A226" s="271" t="s">
        <v>610</v>
      </c>
      <c r="B226" s="273"/>
      <c r="C226" s="273"/>
      <c r="D226" s="273"/>
      <c r="E226" s="273"/>
      <c r="F226" s="273"/>
      <c r="G226" s="274"/>
      <c r="H226" s="275"/>
    </row>
    <row r="227" spans="1:8" ht="11.25" customHeight="1" hidden="1">
      <c r="A227" s="276"/>
      <c r="B227" s="223"/>
      <c r="C227" s="223"/>
      <c r="D227" s="223"/>
      <c r="F227" s="212"/>
      <c r="H227" s="212"/>
    </row>
    <row r="228" spans="1:8" ht="11.25" customHeight="1" hidden="1">
      <c r="A228" s="277"/>
      <c r="B228" s="188"/>
      <c r="C228" s="188"/>
      <c r="D228" s="188"/>
      <c r="F228" s="212"/>
      <c r="H228" s="212"/>
    </row>
    <row r="229" spans="1:8" ht="11.25" customHeight="1" hidden="1">
      <c r="A229" s="277"/>
      <c r="B229" s="188"/>
      <c r="C229" s="188"/>
      <c r="D229" s="188"/>
      <c r="F229" s="212"/>
      <c r="H229" s="212"/>
    </row>
    <row r="230" spans="1:8" ht="11.25" customHeight="1" hidden="1">
      <c r="A230" s="277"/>
      <c r="B230" s="188"/>
      <c r="C230" s="188"/>
      <c r="D230" s="188"/>
      <c r="F230" s="212"/>
      <c r="H230" s="212"/>
    </row>
    <row r="231" spans="1:8" ht="11.25" customHeight="1" hidden="1">
      <c r="A231" s="277"/>
      <c r="B231" s="188"/>
      <c r="C231" s="188"/>
      <c r="D231" s="188"/>
      <c r="F231" s="212"/>
      <c r="H231" s="212"/>
    </row>
    <row r="232" spans="1:8" ht="11.25" customHeight="1" hidden="1">
      <c r="A232" s="277"/>
      <c r="B232" s="188"/>
      <c r="C232" s="188"/>
      <c r="D232" s="188"/>
      <c r="F232" s="212"/>
      <c r="H232" s="212"/>
    </row>
    <row r="233" spans="1:8" ht="11.25" customHeight="1" hidden="1">
      <c r="A233" s="277"/>
      <c r="B233" s="188"/>
      <c r="C233" s="188"/>
      <c r="D233" s="188"/>
      <c r="F233" s="212"/>
      <c r="H233" s="212"/>
    </row>
    <row r="234" spans="1:8" ht="12.75" customHeight="1" hidden="1">
      <c r="A234" s="278" t="s">
        <v>787</v>
      </c>
      <c r="B234" s="272" t="s">
        <v>600</v>
      </c>
      <c r="C234" s="254"/>
      <c r="D234" s="254"/>
      <c r="E234" s="188"/>
      <c r="F234" s="188"/>
      <c r="G234" s="188"/>
      <c r="H234" s="188"/>
    </row>
    <row r="235" spans="1:8" ht="25.5" customHeight="1" hidden="1">
      <c r="A235" s="279" t="s">
        <v>611</v>
      </c>
      <c r="B235" s="280"/>
      <c r="C235" s="110"/>
      <c r="D235" s="110"/>
      <c r="E235" s="212"/>
      <c r="F235" s="212"/>
      <c r="G235" s="212"/>
      <c r="H235" s="212"/>
    </row>
    <row r="236" spans="1:8" ht="12.75" customHeight="1" hidden="1">
      <c r="A236" s="147"/>
      <c r="B236" s="212"/>
      <c r="C236" s="110"/>
      <c r="D236" s="110"/>
      <c r="E236" s="212"/>
      <c r="F236" s="212"/>
      <c r="G236" s="212"/>
      <c r="H236" s="212"/>
    </row>
    <row r="237" spans="1:7" ht="11.25" customHeight="1" hidden="1">
      <c r="A237" s="156"/>
      <c r="B237" s="156"/>
      <c r="C237" s="156"/>
      <c r="D237" s="156"/>
      <c r="E237" s="156"/>
      <c r="F237" s="156"/>
      <c r="G237" s="156"/>
    </row>
    <row r="238" spans="1:7" ht="11.25" customHeight="1" hidden="1">
      <c r="A238" s="156"/>
      <c r="B238" s="156"/>
      <c r="C238" s="156"/>
      <c r="D238" s="156"/>
      <c r="E238" s="156"/>
      <c r="F238" s="156"/>
      <c r="G238" s="156"/>
    </row>
    <row r="239" spans="1:7" ht="11.25" customHeight="1" hidden="1">
      <c r="A239" s="156"/>
      <c r="B239" s="156"/>
      <c r="C239" s="156"/>
      <c r="D239" s="156"/>
      <c r="E239" s="156"/>
      <c r="F239" s="156"/>
      <c r="G239" s="156"/>
    </row>
    <row r="240" spans="1:8" ht="11.25" customHeight="1" hidden="1">
      <c r="A240" s="810" t="s">
        <v>788</v>
      </c>
      <c r="B240" s="811"/>
      <c r="C240" s="812"/>
      <c r="D240" s="254"/>
      <c r="E240" s="254"/>
      <c r="F240" s="254"/>
      <c r="G240" s="254"/>
      <c r="H240" s="254"/>
    </row>
    <row r="241" spans="1:8" ht="11.25" customHeight="1" hidden="1">
      <c r="A241" s="813"/>
      <c r="B241" s="814"/>
      <c r="C241" s="815"/>
      <c r="D241" s="254"/>
      <c r="E241" s="254"/>
      <c r="F241" s="254"/>
      <c r="G241" s="254"/>
      <c r="H241" s="254"/>
    </row>
    <row r="242" spans="1:8" ht="11.25" customHeight="1" hidden="1">
      <c r="A242" s="281"/>
      <c r="B242" s="816" t="s">
        <v>156</v>
      </c>
      <c r="C242" s="817"/>
      <c r="D242" s="188"/>
      <c r="E242" s="188"/>
      <c r="F242" s="188"/>
      <c r="G242" s="188"/>
      <c r="H242" s="188"/>
    </row>
    <row r="243" spans="1:8" ht="11.25" customHeight="1" hidden="1">
      <c r="A243" s="256" t="s">
        <v>598</v>
      </c>
      <c r="B243" s="282" t="s">
        <v>76</v>
      </c>
      <c r="C243" s="283" t="s">
        <v>78</v>
      </c>
      <c r="D243" s="112"/>
      <c r="E243" s="212"/>
      <c r="F243" s="110"/>
      <c r="G243" s="110"/>
      <c r="H243" s="110"/>
    </row>
    <row r="244" spans="1:8" ht="11.25" customHeight="1" hidden="1">
      <c r="A244" s="258"/>
      <c r="B244" s="270" t="s">
        <v>616</v>
      </c>
      <c r="C244" s="260" t="s">
        <v>617</v>
      </c>
      <c r="D244" s="212"/>
      <c r="E244" s="212"/>
      <c r="F244" s="188"/>
      <c r="G244" s="188"/>
      <c r="H244" s="188"/>
    </row>
    <row r="245" spans="1:8" ht="11.25" customHeight="1" hidden="1">
      <c r="A245" s="284" t="s">
        <v>157</v>
      </c>
      <c r="B245" s="285"/>
      <c r="C245" s="286"/>
      <c r="D245" s="110"/>
      <c r="E245" s="809"/>
      <c r="F245" s="809"/>
      <c r="G245" s="809"/>
      <c r="H245" s="809"/>
    </row>
    <row r="246" spans="1:8" ht="11.25" customHeight="1" hidden="1">
      <c r="A246" s="103"/>
      <c r="B246" s="103"/>
      <c r="C246" s="103"/>
      <c r="D246" s="110"/>
      <c r="E246" s="110"/>
      <c r="F246" s="103"/>
      <c r="G246" s="103"/>
      <c r="H246" s="74"/>
    </row>
    <row r="247" spans="1:8" ht="11.25" customHeight="1" hidden="1">
      <c r="A247" s="103"/>
      <c r="B247" s="103"/>
      <c r="C247" s="103"/>
      <c r="D247" s="110"/>
      <c r="E247" s="110"/>
      <c r="F247" s="103"/>
      <c r="G247" s="103"/>
      <c r="H247" s="74"/>
    </row>
    <row r="248" spans="1:8" ht="11.25" customHeight="1" hidden="1">
      <c r="A248" s="103"/>
      <c r="B248" s="103"/>
      <c r="C248" s="103"/>
      <c r="D248" s="110"/>
      <c r="E248" s="110"/>
      <c r="F248" s="103"/>
      <c r="G248" s="103"/>
      <c r="H248" s="74"/>
    </row>
    <row r="249" spans="1:8" ht="11.25" customHeight="1" hidden="1">
      <c r="A249" s="103"/>
      <c r="B249" s="103"/>
      <c r="C249" s="103"/>
      <c r="D249" s="110"/>
      <c r="E249" s="110"/>
      <c r="F249" s="103"/>
      <c r="G249" s="103"/>
      <c r="H249" s="74"/>
    </row>
    <row r="250" spans="1:8" ht="11.25" customHeight="1" hidden="1">
      <c r="A250" s="103"/>
      <c r="B250" s="103"/>
      <c r="C250" s="103"/>
      <c r="D250" s="110"/>
      <c r="E250" s="110"/>
      <c r="F250" s="103"/>
      <c r="G250" s="103"/>
      <c r="H250" s="74"/>
    </row>
    <row r="251" spans="1:8" ht="11.25" customHeight="1" hidden="1">
      <c r="A251" s="103"/>
      <c r="B251" s="103"/>
      <c r="C251" s="103"/>
      <c r="D251" s="110"/>
      <c r="E251" s="110"/>
      <c r="F251" s="103"/>
      <c r="G251" s="103"/>
      <c r="H251" s="74"/>
    </row>
    <row r="252" spans="1:8" ht="11.25" customHeight="1" hidden="1">
      <c r="A252" s="103"/>
      <c r="B252" s="103"/>
      <c r="C252" s="103"/>
      <c r="D252" s="110"/>
      <c r="E252" s="110"/>
      <c r="F252" s="103"/>
      <c r="G252" s="103"/>
      <c r="H252" s="74"/>
    </row>
    <row r="253" spans="1:9" ht="11.25" customHeight="1" hidden="1">
      <c r="A253" s="278" t="s">
        <v>789</v>
      </c>
      <c r="B253" s="287" t="s">
        <v>600</v>
      </c>
      <c r="C253" s="254"/>
      <c r="D253" s="254"/>
      <c r="E253" s="212"/>
      <c r="F253" s="209"/>
      <c r="G253" s="209"/>
      <c r="H253" s="209"/>
      <c r="I253" s="212"/>
    </row>
    <row r="254" spans="1:9" ht="25.5" customHeight="1" hidden="1">
      <c r="A254" s="288" t="s">
        <v>601</v>
      </c>
      <c r="B254" s="286"/>
      <c r="C254" s="173"/>
      <c r="D254" s="173"/>
      <c r="E254" s="212"/>
      <c r="F254" s="110"/>
      <c r="G254" s="110"/>
      <c r="H254" s="110"/>
      <c r="I254" s="212"/>
    </row>
    <row r="255" spans="1:8" ht="11.25" customHeight="1">
      <c r="A255" s="736" t="s">
        <v>1065</v>
      </c>
      <c r="B255" s="744"/>
      <c r="C255" s="744"/>
      <c r="D255" s="744"/>
      <c r="E255" s="744"/>
      <c r="F255" s="744"/>
      <c r="G255" s="744"/>
      <c r="H255" s="744"/>
    </row>
    <row r="260" spans="1:8" ht="11.25" customHeight="1">
      <c r="A260" s="518" t="s">
        <v>1055</v>
      </c>
      <c r="B260" s="738" t="s">
        <v>1057</v>
      </c>
      <c r="C260" s="738"/>
      <c r="D260" s="738"/>
      <c r="E260" s="519"/>
      <c r="F260" s="739" t="s">
        <v>1059</v>
      </c>
      <c r="G260" s="739"/>
      <c r="H260" s="519"/>
    </row>
    <row r="261" spans="1:8" ht="11.25" customHeight="1">
      <c r="A261" s="518" t="s">
        <v>1056</v>
      </c>
      <c r="B261" s="738" t="s">
        <v>1058</v>
      </c>
      <c r="C261" s="738"/>
      <c r="D261" s="738"/>
      <c r="E261" s="519"/>
      <c r="F261" s="565" t="s">
        <v>1060</v>
      </c>
      <c r="G261" s="565"/>
      <c r="H261" s="519"/>
    </row>
    <row r="262" spans="1:8" ht="11.25" customHeight="1">
      <c r="A262" s="521"/>
      <c r="B262" s="738" t="s">
        <v>1073</v>
      </c>
      <c r="C262" s="738"/>
      <c r="D262" s="738"/>
      <c r="E262" s="521"/>
      <c r="F262" s="738" t="s">
        <v>1074</v>
      </c>
      <c r="G262" s="738"/>
      <c r="H262" s="521"/>
    </row>
  </sheetData>
  <sheetProtection/>
  <mergeCells count="41">
    <mergeCell ref="A240:C241"/>
    <mergeCell ref="B242:C242"/>
    <mergeCell ref="B212:B214"/>
    <mergeCell ref="A210:D211"/>
    <mergeCell ref="C212:D212"/>
    <mergeCell ref="C222:D222"/>
    <mergeCell ref="E245:H245"/>
    <mergeCell ref="B261:D261"/>
    <mergeCell ref="B262:D262"/>
    <mergeCell ref="A255:H255"/>
    <mergeCell ref="B260:D260"/>
    <mergeCell ref="F260:G260"/>
    <mergeCell ref="F262:G262"/>
    <mergeCell ref="A148:C149"/>
    <mergeCell ref="A66:A70"/>
    <mergeCell ref="A200:A201"/>
    <mergeCell ref="B102:B103"/>
    <mergeCell ref="B66:B70"/>
    <mergeCell ref="C66:H66"/>
    <mergeCell ref="C67:C70"/>
    <mergeCell ref="D67:D70"/>
    <mergeCell ref="E67:E70"/>
    <mergeCell ref="B174:B176"/>
    <mergeCell ref="E222:F222"/>
    <mergeCell ref="G222:H222"/>
    <mergeCell ref="C19:C21"/>
    <mergeCell ref="B111:B112"/>
    <mergeCell ref="B200:B201"/>
    <mergeCell ref="G223:G224"/>
    <mergeCell ref="H223:H224"/>
    <mergeCell ref="F67:F70"/>
    <mergeCell ref="G67:H69"/>
    <mergeCell ref="B150:C150"/>
    <mergeCell ref="A11:D11"/>
    <mergeCell ref="A14:D14"/>
    <mergeCell ref="A15:D15"/>
    <mergeCell ref="B19:B21"/>
    <mergeCell ref="A130:A131"/>
    <mergeCell ref="A111:A112"/>
    <mergeCell ref="A102:A103"/>
    <mergeCell ref="B130:B131"/>
  </mergeCells>
  <printOptions horizontalCentered="1"/>
  <pageMargins left="0.31496062992125984" right="0.2755905511811024" top="0.3937007874015748" bottom="0.3937007874015748" header="0" footer="0.1968503937007874"/>
  <pageSetup horizontalDpi="600" verticalDpi="600" orientation="landscape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52"/>
  <sheetViews>
    <sheetView showGridLines="0" zoomScalePageLayoutView="0" workbookViewId="0" topLeftCell="A1">
      <selection activeCell="A1" sqref="A1"/>
    </sheetView>
  </sheetViews>
  <sheetFormatPr defaultColWidth="3.28125" defaultRowHeight="11.25" customHeight="1"/>
  <cols>
    <col min="1" max="1" width="51.00390625" style="103" customWidth="1"/>
    <col min="2" max="2" width="10.8515625" style="103" customWidth="1"/>
    <col min="3" max="3" width="12.140625" style="103" customWidth="1"/>
    <col min="4" max="4" width="12.00390625" style="103" bestFit="1" customWidth="1"/>
    <col min="5" max="5" width="10.421875" style="103" customWidth="1"/>
    <col min="6" max="6" width="9.8515625" style="103" bestFit="1" customWidth="1"/>
    <col min="7" max="7" width="10.8515625" style="103" customWidth="1"/>
    <col min="8" max="8" width="11.7109375" style="103" customWidth="1"/>
    <col min="9" max="9" width="12.00390625" style="103" bestFit="1" customWidth="1"/>
    <col min="10" max="10" width="14.28125" style="103" customWidth="1"/>
    <col min="11" max="11" width="11.28125" style="103" customWidth="1"/>
    <col min="12" max="12" width="12.00390625" style="103" bestFit="1" customWidth="1"/>
    <col min="13" max="13" width="14.57421875" style="103" bestFit="1" customWidth="1"/>
    <col min="14" max="16384" width="3.28125" style="103" customWidth="1"/>
  </cols>
  <sheetData>
    <row r="1" ht="12.75"/>
    <row r="2" ht="25.5" customHeight="1">
      <c r="A2" s="497" t="s">
        <v>1050</v>
      </c>
    </row>
    <row r="3" ht="15.75" customHeight="1">
      <c r="A3" s="289" t="s">
        <v>1051</v>
      </c>
    </row>
    <row r="4" ht="15.75" customHeight="1">
      <c r="A4" s="289" t="s">
        <v>1052</v>
      </c>
    </row>
    <row r="5" ht="15.75" customHeight="1">
      <c r="A5" s="289" t="s">
        <v>1053</v>
      </c>
    </row>
    <row r="6" spans="1:12" ht="15.75">
      <c r="A6" s="104" t="s">
        <v>336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ht="12.75"/>
    <row r="8" spans="1:12" s="289" customFormat="1" ht="15.75">
      <c r="A8" s="484" t="s">
        <v>1050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12.75">
      <c r="A9" s="106" t="s">
        <v>68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2.75">
      <c r="A10" s="107" t="s">
        <v>158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2.75">
      <c r="A11" s="745" t="s">
        <v>70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</row>
    <row r="12" spans="1:10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2" ht="12.75">
      <c r="A13" s="333" t="s">
        <v>1054</v>
      </c>
      <c r="B13" s="172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</row>
    <row r="14" spans="1:12" ht="12.75" hidden="1">
      <c r="A14" s="745"/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</row>
    <row r="15" spans="1:12" ht="12.75" hidden="1">
      <c r="A15" s="745"/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</row>
    <row r="16" ht="12.75"/>
    <row r="17" spans="1:13" ht="12.75">
      <c r="A17" s="153" t="s">
        <v>337</v>
      </c>
      <c r="B17" s="110"/>
      <c r="L17" s="111"/>
      <c r="M17" s="111" t="s">
        <v>605</v>
      </c>
    </row>
    <row r="18" spans="1:13" ht="24.75" customHeight="1">
      <c r="A18" s="536"/>
      <c r="B18" s="821" t="s">
        <v>488</v>
      </c>
      <c r="C18" s="822"/>
      <c r="D18" s="822"/>
      <c r="E18" s="822"/>
      <c r="F18" s="823"/>
      <c r="G18" s="749" t="s">
        <v>311</v>
      </c>
      <c r="H18" s="828"/>
      <c r="I18" s="828"/>
      <c r="J18" s="828"/>
      <c r="K18" s="828"/>
      <c r="L18" s="829"/>
      <c r="M18" s="734" t="s">
        <v>485</v>
      </c>
    </row>
    <row r="19" spans="1:13" ht="12.75">
      <c r="A19" s="593"/>
      <c r="B19" s="826" t="s">
        <v>159</v>
      </c>
      <c r="C19" s="826"/>
      <c r="D19" s="554"/>
      <c r="E19" s="554"/>
      <c r="F19" s="594"/>
      <c r="G19" s="731" t="s">
        <v>159</v>
      </c>
      <c r="H19" s="827"/>
      <c r="I19" s="554"/>
      <c r="J19" s="554"/>
      <c r="K19" s="554"/>
      <c r="L19" s="594"/>
      <c r="M19" s="735"/>
    </row>
    <row r="20" spans="1:13" ht="12.75">
      <c r="A20" s="538" t="s">
        <v>160</v>
      </c>
      <c r="B20" s="734" t="s">
        <v>628</v>
      </c>
      <c r="C20" s="734" t="s">
        <v>627</v>
      </c>
      <c r="D20" s="528" t="s">
        <v>162</v>
      </c>
      <c r="E20" s="528" t="s">
        <v>161</v>
      </c>
      <c r="F20" s="595" t="s">
        <v>469</v>
      </c>
      <c r="G20" s="734" t="s">
        <v>628</v>
      </c>
      <c r="H20" s="734" t="s">
        <v>627</v>
      </c>
      <c r="I20" s="528" t="s">
        <v>470</v>
      </c>
      <c r="J20" s="528" t="s">
        <v>162</v>
      </c>
      <c r="K20" s="528" t="s">
        <v>161</v>
      </c>
      <c r="L20" s="595" t="s">
        <v>469</v>
      </c>
      <c r="M20" s="735"/>
    </row>
    <row r="21" spans="1:13" ht="12.75">
      <c r="A21" s="593"/>
      <c r="B21" s="770"/>
      <c r="C21" s="770"/>
      <c r="D21" s="596"/>
      <c r="E21" s="596"/>
      <c r="F21" s="595" t="s">
        <v>79</v>
      </c>
      <c r="G21" s="770" t="s">
        <v>163</v>
      </c>
      <c r="H21" s="770" t="s">
        <v>164</v>
      </c>
      <c r="I21" s="596"/>
      <c r="J21" s="596"/>
      <c r="K21" s="596"/>
      <c r="L21" s="595" t="s">
        <v>80</v>
      </c>
      <c r="M21" s="735"/>
    </row>
    <row r="22" spans="1:13" s="290" customFormat="1" ht="26.25" customHeight="1">
      <c r="A22" s="540"/>
      <c r="B22" s="771"/>
      <c r="C22" s="771"/>
      <c r="D22" s="551"/>
      <c r="E22" s="551"/>
      <c r="F22" s="597"/>
      <c r="G22" s="771"/>
      <c r="H22" s="771" t="s">
        <v>165</v>
      </c>
      <c r="I22" s="551"/>
      <c r="J22" s="551"/>
      <c r="K22" s="551"/>
      <c r="L22" s="597"/>
      <c r="M22" s="740"/>
    </row>
    <row r="23" spans="1:13" ht="12.75">
      <c r="A23" s="103" t="s">
        <v>66</v>
      </c>
      <c r="B23" s="215">
        <f aca="true" t="shared" si="0" ref="B23:M23">B24+B25</f>
        <v>140713.38</v>
      </c>
      <c r="C23" s="215">
        <f t="shared" si="0"/>
        <v>14703614.02</v>
      </c>
      <c r="D23" s="215">
        <f t="shared" si="0"/>
        <v>14561260.53</v>
      </c>
      <c r="E23" s="215">
        <f t="shared" si="0"/>
        <v>3074.88</v>
      </c>
      <c r="F23" s="215">
        <f t="shared" si="0"/>
        <v>279991.99000000104</v>
      </c>
      <c r="G23" s="215">
        <f t="shared" si="0"/>
        <v>1332775.54</v>
      </c>
      <c r="H23" s="215">
        <f t="shared" si="0"/>
        <v>69085229.69</v>
      </c>
      <c r="I23" s="215">
        <f t="shared" si="0"/>
        <v>48148079.92</v>
      </c>
      <c r="J23" s="215">
        <f t="shared" si="0"/>
        <v>45085169.76</v>
      </c>
      <c r="K23" s="217">
        <f t="shared" si="0"/>
        <v>9091994.53</v>
      </c>
      <c r="L23" s="217">
        <f t="shared" si="0"/>
        <v>16240840.940000009</v>
      </c>
      <c r="M23" s="137">
        <f t="shared" si="0"/>
        <v>16520832.930000009</v>
      </c>
    </row>
    <row r="24" spans="1:13" ht="12.75">
      <c r="A24" s="103" t="s">
        <v>487</v>
      </c>
      <c r="B24" s="215">
        <v>140713.38</v>
      </c>
      <c r="C24" s="215">
        <v>14703614.02</v>
      </c>
      <c r="D24" s="215">
        <v>14561260.53</v>
      </c>
      <c r="E24" s="215">
        <v>3074.88</v>
      </c>
      <c r="F24" s="215">
        <f>B24+C24-D24-E24</f>
        <v>279991.99000000104</v>
      </c>
      <c r="G24" s="215">
        <v>1332775.54</v>
      </c>
      <c r="H24" s="215">
        <v>67608208.69</v>
      </c>
      <c r="I24" s="215">
        <v>47841958.39</v>
      </c>
      <c r="J24" s="215">
        <v>44779048.23</v>
      </c>
      <c r="K24" s="217">
        <v>9091994.53</v>
      </c>
      <c r="L24" s="217">
        <f>G24+H24-J24-K24</f>
        <v>15069941.470000008</v>
      </c>
      <c r="M24" s="215">
        <f>F24+L24</f>
        <v>15349933.460000008</v>
      </c>
    </row>
    <row r="25" spans="1:13" ht="12.75">
      <c r="A25" s="103" t="s">
        <v>489</v>
      </c>
      <c r="B25" s="215">
        <f aca="true" t="shared" si="1" ref="B25:M25">SUM(B26:B27)</f>
        <v>0</v>
      </c>
      <c r="C25" s="215">
        <f t="shared" si="1"/>
        <v>0</v>
      </c>
      <c r="D25" s="215">
        <f t="shared" si="1"/>
        <v>0</v>
      </c>
      <c r="E25" s="215">
        <f t="shared" si="1"/>
        <v>0</v>
      </c>
      <c r="F25" s="215">
        <f t="shared" si="1"/>
        <v>0</v>
      </c>
      <c r="G25" s="215">
        <f t="shared" si="1"/>
        <v>0</v>
      </c>
      <c r="H25" s="215">
        <f t="shared" si="1"/>
        <v>1477021</v>
      </c>
      <c r="I25" s="215">
        <f t="shared" si="1"/>
        <v>306121.53</v>
      </c>
      <c r="J25" s="215">
        <f t="shared" si="1"/>
        <v>306121.53</v>
      </c>
      <c r="K25" s="217">
        <f t="shared" si="1"/>
        <v>0</v>
      </c>
      <c r="L25" s="217">
        <f t="shared" si="1"/>
        <v>1170899.47</v>
      </c>
      <c r="M25" s="215">
        <f t="shared" si="1"/>
        <v>1170899.47</v>
      </c>
    </row>
    <row r="26" spans="1:13" ht="12.75" hidden="1">
      <c r="A26" s="103" t="s">
        <v>629</v>
      </c>
      <c r="B26" s="215">
        <v>0</v>
      </c>
      <c r="C26" s="215">
        <v>0</v>
      </c>
      <c r="D26" s="291">
        <v>0</v>
      </c>
      <c r="E26" s="291">
        <v>0</v>
      </c>
      <c r="F26" s="215">
        <f>B26+C26-D26-E26</f>
        <v>0</v>
      </c>
      <c r="G26" s="217">
        <v>0</v>
      </c>
      <c r="H26" s="217">
        <v>1477021</v>
      </c>
      <c r="I26" s="217">
        <v>306121.53</v>
      </c>
      <c r="J26" s="217">
        <v>306121.53</v>
      </c>
      <c r="K26" s="217">
        <v>0</v>
      </c>
      <c r="L26" s="217">
        <f>G26+H26-J26-K26</f>
        <v>1170899.47</v>
      </c>
      <c r="M26" s="215">
        <f>F26+L26</f>
        <v>1170899.47</v>
      </c>
    </row>
    <row r="27" spans="1:13" ht="12.75" hidden="1">
      <c r="A27" s="103" t="s">
        <v>630</v>
      </c>
      <c r="B27" s="215"/>
      <c r="C27" s="292"/>
      <c r="D27" s="293"/>
      <c r="E27" s="293"/>
      <c r="F27" s="292">
        <f>B27+C27-D27-E27</f>
        <v>0</v>
      </c>
      <c r="G27" s="294"/>
      <c r="H27" s="294"/>
      <c r="I27" s="294"/>
      <c r="J27" s="294"/>
      <c r="K27" s="294"/>
      <c r="L27" s="294">
        <f>G27+H27-J27-K27</f>
        <v>0</v>
      </c>
      <c r="M27" s="215">
        <f>F27+L27</f>
        <v>0</v>
      </c>
    </row>
    <row r="28" spans="1:13" ht="12.75">
      <c r="A28" s="103" t="s">
        <v>67</v>
      </c>
      <c r="B28" s="215">
        <f aca="true" t="shared" si="2" ref="B28:M28">B40</f>
        <v>0</v>
      </c>
      <c r="C28" s="215">
        <f t="shared" si="2"/>
        <v>593514.79</v>
      </c>
      <c r="D28" s="215">
        <f t="shared" si="2"/>
        <v>593514.79</v>
      </c>
      <c r="E28" s="215">
        <f t="shared" si="2"/>
        <v>0</v>
      </c>
      <c r="F28" s="215">
        <f t="shared" si="2"/>
        <v>0</v>
      </c>
      <c r="G28" s="215">
        <f t="shared" si="2"/>
        <v>0</v>
      </c>
      <c r="H28" s="215">
        <f t="shared" si="2"/>
        <v>476124.04</v>
      </c>
      <c r="I28" s="215">
        <f t="shared" si="2"/>
        <v>252166.15</v>
      </c>
      <c r="J28" s="215">
        <f t="shared" si="2"/>
        <v>185320.4</v>
      </c>
      <c r="K28" s="217">
        <f t="shared" si="2"/>
        <v>102442.54</v>
      </c>
      <c r="L28" s="217">
        <f t="shared" si="2"/>
        <v>188361.1</v>
      </c>
      <c r="M28" s="215">
        <f t="shared" si="2"/>
        <v>188361.1</v>
      </c>
    </row>
    <row r="29" spans="1:13" ht="12.75">
      <c r="A29" s="560" t="s">
        <v>168</v>
      </c>
      <c r="B29" s="583">
        <f aca="true" t="shared" si="3" ref="B29:M29">B23+B28</f>
        <v>140713.38</v>
      </c>
      <c r="C29" s="584">
        <f t="shared" si="3"/>
        <v>15297128.809999999</v>
      </c>
      <c r="D29" s="584">
        <f t="shared" si="3"/>
        <v>15154775.32</v>
      </c>
      <c r="E29" s="584">
        <f t="shared" si="3"/>
        <v>3074.88</v>
      </c>
      <c r="F29" s="583">
        <f t="shared" si="3"/>
        <v>279991.99000000104</v>
      </c>
      <c r="G29" s="584">
        <f t="shared" si="3"/>
        <v>1332775.54</v>
      </c>
      <c r="H29" s="584">
        <f t="shared" si="3"/>
        <v>69561353.73</v>
      </c>
      <c r="I29" s="584">
        <f t="shared" si="3"/>
        <v>48400246.07</v>
      </c>
      <c r="J29" s="584">
        <f t="shared" si="3"/>
        <v>45270490.16</v>
      </c>
      <c r="K29" s="584">
        <f t="shared" si="3"/>
        <v>9194437.069999998</v>
      </c>
      <c r="L29" s="584">
        <f t="shared" si="3"/>
        <v>16429202.040000008</v>
      </c>
      <c r="M29" s="583">
        <f t="shared" si="3"/>
        <v>16709194.030000009</v>
      </c>
    </row>
    <row r="30" spans="1:13" ht="12.75">
      <c r="A30" s="825"/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</row>
    <row r="31" ht="10.5" customHeight="1">
      <c r="A31" s="110"/>
    </row>
    <row r="32" ht="11.25" customHeight="1" hidden="1"/>
    <row r="33" ht="11.25" customHeight="1" hidden="1"/>
    <row r="34" ht="11.25" customHeight="1" hidden="1"/>
    <row r="35" spans="1:13" ht="27" customHeight="1">
      <c r="A35" s="536"/>
      <c r="B35" s="821" t="s">
        <v>488</v>
      </c>
      <c r="C35" s="822"/>
      <c r="D35" s="822"/>
      <c r="E35" s="822"/>
      <c r="F35" s="823"/>
      <c r="G35" s="749" t="s">
        <v>311</v>
      </c>
      <c r="H35" s="828"/>
      <c r="I35" s="828"/>
      <c r="J35" s="828"/>
      <c r="K35" s="828"/>
      <c r="L35" s="829"/>
      <c r="M35" s="734" t="s">
        <v>485</v>
      </c>
    </row>
    <row r="36" spans="1:13" ht="12.75">
      <c r="A36" s="593"/>
      <c r="B36" s="826" t="s">
        <v>159</v>
      </c>
      <c r="C36" s="826"/>
      <c r="D36" s="554"/>
      <c r="E36" s="554"/>
      <c r="F36" s="594"/>
      <c r="G36" s="731" t="s">
        <v>159</v>
      </c>
      <c r="H36" s="827"/>
      <c r="I36" s="554"/>
      <c r="J36" s="554"/>
      <c r="K36" s="554"/>
      <c r="L36" s="594"/>
      <c r="M36" s="735"/>
    </row>
    <row r="37" spans="1:13" ht="12.75">
      <c r="A37" s="538" t="s">
        <v>640</v>
      </c>
      <c r="B37" s="734" t="s">
        <v>628</v>
      </c>
      <c r="C37" s="734" t="s">
        <v>627</v>
      </c>
      <c r="D37" s="528" t="s">
        <v>162</v>
      </c>
      <c r="E37" s="528" t="s">
        <v>161</v>
      </c>
      <c r="F37" s="595" t="s">
        <v>469</v>
      </c>
      <c r="G37" s="734" t="s">
        <v>628</v>
      </c>
      <c r="H37" s="734" t="s">
        <v>627</v>
      </c>
      <c r="I37" s="528" t="s">
        <v>470</v>
      </c>
      <c r="J37" s="528" t="s">
        <v>162</v>
      </c>
      <c r="K37" s="528" t="s">
        <v>161</v>
      </c>
      <c r="L37" s="595" t="s">
        <v>469</v>
      </c>
      <c r="M37" s="735"/>
    </row>
    <row r="38" spans="1:13" ht="12.75">
      <c r="A38" s="593"/>
      <c r="B38" s="770"/>
      <c r="C38" s="770"/>
      <c r="D38" s="596"/>
      <c r="E38" s="596"/>
      <c r="F38" s="595" t="s">
        <v>79</v>
      </c>
      <c r="G38" s="770" t="s">
        <v>163</v>
      </c>
      <c r="H38" s="770" t="s">
        <v>164</v>
      </c>
      <c r="I38" s="596"/>
      <c r="J38" s="596"/>
      <c r="K38" s="596"/>
      <c r="L38" s="595" t="s">
        <v>80</v>
      </c>
      <c r="M38" s="735"/>
    </row>
    <row r="39" spans="1:13" ht="12.75">
      <c r="A39" s="540"/>
      <c r="B39" s="771"/>
      <c r="C39" s="771"/>
      <c r="D39" s="551"/>
      <c r="E39" s="551"/>
      <c r="F39" s="597"/>
      <c r="G39" s="771"/>
      <c r="H39" s="771" t="s">
        <v>165</v>
      </c>
      <c r="I39" s="551"/>
      <c r="J39" s="551"/>
      <c r="K39" s="551"/>
      <c r="L39" s="597"/>
      <c r="M39" s="740"/>
    </row>
    <row r="40" spans="1:13" ht="11.25" customHeight="1">
      <c r="A40" s="103" t="s">
        <v>67</v>
      </c>
      <c r="B40" s="215">
        <f aca="true" t="shared" si="4" ref="B40:M40">B41+B42</f>
        <v>0</v>
      </c>
      <c r="C40" s="215">
        <f t="shared" si="4"/>
        <v>593514.79</v>
      </c>
      <c r="D40" s="215">
        <f t="shared" si="4"/>
        <v>593514.79</v>
      </c>
      <c r="E40" s="215">
        <f t="shared" si="4"/>
        <v>0</v>
      </c>
      <c r="F40" s="215">
        <f t="shared" si="4"/>
        <v>0</v>
      </c>
      <c r="G40" s="215">
        <f t="shared" si="4"/>
        <v>0</v>
      </c>
      <c r="H40" s="215">
        <f t="shared" si="4"/>
        <v>476124.04</v>
      </c>
      <c r="I40" s="215">
        <f t="shared" si="4"/>
        <v>252166.15</v>
      </c>
      <c r="J40" s="215">
        <f t="shared" si="4"/>
        <v>185320.4</v>
      </c>
      <c r="K40" s="217">
        <f t="shared" si="4"/>
        <v>102442.54</v>
      </c>
      <c r="L40" s="217">
        <f t="shared" si="4"/>
        <v>188361.1</v>
      </c>
      <c r="M40" s="137">
        <f t="shared" si="4"/>
        <v>188361.1</v>
      </c>
    </row>
    <row r="41" spans="1:13" ht="11.25" customHeight="1">
      <c r="A41" s="103" t="s">
        <v>487</v>
      </c>
      <c r="B41" s="215">
        <v>0</v>
      </c>
      <c r="C41" s="215">
        <v>593514.79</v>
      </c>
      <c r="D41" s="215">
        <v>593514.79</v>
      </c>
      <c r="E41" s="215">
        <v>0</v>
      </c>
      <c r="F41" s="215">
        <f>B41+C41-D41-E41</f>
        <v>0</v>
      </c>
      <c r="G41" s="215">
        <v>0</v>
      </c>
      <c r="H41" s="215">
        <v>426880.04</v>
      </c>
      <c r="I41" s="215">
        <v>249485.28</v>
      </c>
      <c r="J41" s="215">
        <v>183050.19</v>
      </c>
      <c r="K41" s="217">
        <v>102442.54</v>
      </c>
      <c r="L41" s="217">
        <f>G41+H41-J41-K41</f>
        <v>141387.31</v>
      </c>
      <c r="M41" s="215">
        <f>F41+L41</f>
        <v>141387.31</v>
      </c>
    </row>
    <row r="42" spans="1:13" ht="11.25" customHeight="1">
      <c r="A42" s="103" t="s">
        <v>489</v>
      </c>
      <c r="B42" s="215">
        <f aca="true" t="shared" si="5" ref="B42:M42">SUM(B43:B44)</f>
        <v>0</v>
      </c>
      <c r="C42" s="215">
        <f t="shared" si="5"/>
        <v>0</v>
      </c>
      <c r="D42" s="215">
        <f t="shared" si="5"/>
        <v>0</v>
      </c>
      <c r="E42" s="215">
        <f t="shared" si="5"/>
        <v>0</v>
      </c>
      <c r="F42" s="215">
        <f t="shared" si="5"/>
        <v>0</v>
      </c>
      <c r="G42" s="215">
        <f t="shared" si="5"/>
        <v>0</v>
      </c>
      <c r="H42" s="215">
        <f t="shared" si="5"/>
        <v>49244</v>
      </c>
      <c r="I42" s="215">
        <f t="shared" si="5"/>
        <v>2680.87</v>
      </c>
      <c r="J42" s="215">
        <f t="shared" si="5"/>
        <v>2270.21</v>
      </c>
      <c r="K42" s="217">
        <f t="shared" si="5"/>
        <v>0</v>
      </c>
      <c r="L42" s="217">
        <f t="shared" si="5"/>
        <v>46973.79</v>
      </c>
      <c r="M42" s="215">
        <f t="shared" si="5"/>
        <v>46973.79</v>
      </c>
    </row>
    <row r="43" spans="1:13" ht="11.25" customHeight="1" hidden="1">
      <c r="A43" s="103" t="s">
        <v>629</v>
      </c>
      <c r="B43" s="118">
        <v>0</v>
      </c>
      <c r="C43" s="118">
        <v>0</v>
      </c>
      <c r="D43" s="149">
        <v>0</v>
      </c>
      <c r="E43" s="149">
        <v>0</v>
      </c>
      <c r="F43" s="118">
        <f>B43+C43-D43-E43</f>
        <v>0</v>
      </c>
      <c r="G43" s="116">
        <v>0</v>
      </c>
      <c r="H43" s="116">
        <v>49244</v>
      </c>
      <c r="I43" s="116">
        <v>2680.87</v>
      </c>
      <c r="J43" s="116">
        <v>2270.21</v>
      </c>
      <c r="K43" s="116">
        <v>0</v>
      </c>
      <c r="L43" s="116">
        <f>G43+H43-J43-K43</f>
        <v>46973.79</v>
      </c>
      <c r="M43" s="118">
        <f>F43+L43</f>
        <v>46973.79</v>
      </c>
    </row>
    <row r="44" spans="1:13" ht="11.25" customHeight="1" hidden="1">
      <c r="A44" s="103" t="s">
        <v>630</v>
      </c>
      <c r="B44" s="118"/>
      <c r="C44" s="295"/>
      <c r="D44" s="296"/>
      <c r="E44" s="296"/>
      <c r="F44" s="118">
        <f>B44+C44-D44-E44</f>
        <v>0</v>
      </c>
      <c r="G44" s="297"/>
      <c r="H44" s="297"/>
      <c r="I44" s="297"/>
      <c r="J44" s="297"/>
      <c r="K44" s="297"/>
      <c r="L44" s="116">
        <f>G44+H44-J44-K44</f>
        <v>0</v>
      </c>
      <c r="M44" s="118">
        <f>F44+L44</f>
        <v>0</v>
      </c>
    </row>
    <row r="45" spans="1:13" ht="11.25" customHeight="1">
      <c r="A45" s="824" t="s">
        <v>1066</v>
      </c>
      <c r="B45" s="825"/>
      <c r="C45" s="825"/>
      <c r="D45" s="825"/>
      <c r="E45" s="825"/>
      <c r="F45" s="825"/>
      <c r="G45" s="825"/>
      <c r="H45" s="825"/>
      <c r="I45" s="825"/>
      <c r="J45" s="825"/>
      <c r="K45" s="825"/>
      <c r="L45" s="825"/>
      <c r="M45" s="825"/>
    </row>
    <row r="50" spans="1:13" ht="11.25" customHeight="1">
      <c r="A50" s="518" t="s">
        <v>1055</v>
      </c>
      <c r="B50" s="519"/>
      <c r="C50" s="522"/>
      <c r="D50" s="519"/>
      <c r="E50" s="738" t="s">
        <v>1057</v>
      </c>
      <c r="F50" s="738"/>
      <c r="G50" s="738"/>
      <c r="H50" s="738"/>
      <c r="I50" s="522"/>
      <c r="J50" s="519" t="s">
        <v>1059</v>
      </c>
      <c r="K50" s="522"/>
      <c r="L50" s="519"/>
      <c r="M50" s="519"/>
    </row>
    <row r="51" spans="1:13" ht="11.25" customHeight="1">
      <c r="A51" s="518" t="s">
        <v>1056</v>
      </c>
      <c r="B51" s="519"/>
      <c r="C51" s="522"/>
      <c r="D51" s="519"/>
      <c r="E51" s="738" t="s">
        <v>1058</v>
      </c>
      <c r="F51" s="738"/>
      <c r="G51" s="738"/>
      <c r="H51" s="738"/>
      <c r="I51" s="522"/>
      <c r="J51" s="518" t="s">
        <v>1060</v>
      </c>
      <c r="K51" s="592"/>
      <c r="L51" s="519"/>
      <c r="M51" s="519"/>
    </row>
    <row r="52" spans="1:13" ht="11.25" customHeight="1">
      <c r="A52" s="522"/>
      <c r="B52" s="522"/>
      <c r="C52" s="522"/>
      <c r="D52" s="522"/>
      <c r="E52" s="739" t="s">
        <v>1073</v>
      </c>
      <c r="F52" s="739"/>
      <c r="G52" s="739"/>
      <c r="H52" s="739"/>
      <c r="I52" s="522"/>
      <c r="J52" s="522" t="s">
        <v>1074</v>
      </c>
      <c r="K52" s="522"/>
      <c r="L52" s="522"/>
      <c r="M52" s="522"/>
    </row>
  </sheetData>
  <sheetProtection/>
  <mergeCells count="26">
    <mergeCell ref="E50:H50"/>
    <mergeCell ref="E51:H51"/>
    <mergeCell ref="E52:H52"/>
    <mergeCell ref="G35:L35"/>
    <mergeCell ref="A30:M30"/>
    <mergeCell ref="B20:B22"/>
    <mergeCell ref="C20:C22"/>
    <mergeCell ref="G20:G22"/>
    <mergeCell ref="H20:H22"/>
    <mergeCell ref="M18:M22"/>
    <mergeCell ref="B19:C19"/>
    <mergeCell ref="G19:H19"/>
    <mergeCell ref="A11:L11"/>
    <mergeCell ref="A14:L14"/>
    <mergeCell ref="A15:L15"/>
    <mergeCell ref="B18:F18"/>
    <mergeCell ref="G18:L18"/>
    <mergeCell ref="B37:B39"/>
    <mergeCell ref="B35:F35"/>
    <mergeCell ref="C37:C39"/>
    <mergeCell ref="G37:G39"/>
    <mergeCell ref="H37:H39"/>
    <mergeCell ref="A45:M45"/>
    <mergeCell ref="M35:M39"/>
    <mergeCell ref="B36:C36"/>
    <mergeCell ref="G36:H36"/>
  </mergeCells>
  <printOptions horizontalCentered="1"/>
  <pageMargins left="0.1968503937007874" right="0.2755905511811024" top="0.5905511811023623" bottom="0.3937007874015748" header="0" footer="0.1968503937007874"/>
  <pageSetup horizontalDpi="300" verticalDpi="300" orientation="landscape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210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92.8515625" style="298" customWidth="1"/>
    <col min="2" max="7" width="13.7109375" style="298" customWidth="1"/>
    <col min="8" max="8" width="18.8515625" style="298" customWidth="1"/>
    <col min="9" max="9" width="21.140625" style="298" customWidth="1"/>
    <col min="10" max="10" width="14.00390625" style="298" customWidth="1"/>
    <col min="11" max="11" width="14.140625" style="298" customWidth="1"/>
    <col min="12" max="16384" width="9.140625" style="298" customWidth="1"/>
  </cols>
  <sheetData>
    <row r="1" ht="12.75"/>
    <row r="2" ht="25.5" customHeight="1">
      <c r="A2" s="502" t="s">
        <v>1050</v>
      </c>
    </row>
    <row r="3" ht="15.75" customHeight="1">
      <c r="A3" s="503" t="s">
        <v>1051</v>
      </c>
    </row>
    <row r="4" ht="15.75" customHeight="1">
      <c r="A4" s="503" t="s">
        <v>1052</v>
      </c>
    </row>
    <row r="5" ht="15.75" customHeight="1">
      <c r="A5" s="503" t="s">
        <v>1053</v>
      </c>
    </row>
    <row r="6" spans="1:6" ht="15.75">
      <c r="A6" s="299" t="s">
        <v>556</v>
      </c>
      <c r="B6" s="299"/>
      <c r="C6" s="299"/>
      <c r="D6" s="299"/>
      <c r="E6" s="299"/>
      <c r="F6" s="299"/>
    </row>
    <row r="7" spans="1:6" ht="12.75">
      <c r="A7" s="300"/>
      <c r="B7" s="300"/>
      <c r="C7" s="300"/>
      <c r="D7" s="300"/>
      <c r="E7" s="300"/>
      <c r="F7" s="300"/>
    </row>
    <row r="8" spans="1:6" s="302" customFormat="1" ht="15.75">
      <c r="A8" s="504" t="s">
        <v>1050</v>
      </c>
      <c r="B8" s="301"/>
      <c r="C8" s="301"/>
      <c r="D8" s="301"/>
      <c r="E8" s="301"/>
      <c r="F8" s="301"/>
    </row>
    <row r="9" spans="1:6" s="6" customFormat="1" ht="12.75">
      <c r="A9" s="303" t="s">
        <v>68</v>
      </c>
      <c r="B9" s="303"/>
      <c r="C9" s="303"/>
      <c r="D9" s="303"/>
      <c r="E9" s="303"/>
      <c r="F9" s="303"/>
    </row>
    <row r="10" spans="1:6" s="6" customFormat="1" ht="12.75">
      <c r="A10" s="304" t="s">
        <v>189</v>
      </c>
      <c r="B10" s="304"/>
      <c r="C10" s="304"/>
      <c r="D10" s="304"/>
      <c r="E10" s="304"/>
      <c r="F10" s="304"/>
    </row>
    <row r="11" spans="1:6" s="6" customFormat="1" ht="12.75">
      <c r="A11" s="831" t="s">
        <v>70</v>
      </c>
      <c r="B11" s="831"/>
      <c r="C11" s="831"/>
      <c r="D11" s="831"/>
      <c r="E11" s="831"/>
      <c r="F11" s="831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2" s="6" customFormat="1" ht="12.75">
      <c r="A13" s="505" t="s">
        <v>1054</v>
      </c>
      <c r="B13" s="305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</row>
    <row r="14" spans="1:6" s="6" customFormat="1" ht="12.75" hidden="1">
      <c r="A14" s="831"/>
      <c r="B14" s="831"/>
      <c r="C14" s="831"/>
      <c r="D14" s="831"/>
      <c r="E14" s="831"/>
      <c r="F14" s="831"/>
    </row>
    <row r="15" spans="1:6" s="6" customFormat="1" ht="12.75" hidden="1">
      <c r="A15" s="831"/>
      <c r="B15" s="831"/>
      <c r="C15" s="831"/>
      <c r="D15" s="831"/>
      <c r="E15" s="831"/>
      <c r="F15" s="831"/>
    </row>
    <row r="16" spans="1:6" s="6" customFormat="1" ht="12.75">
      <c r="A16" s="303"/>
      <c r="B16" s="303"/>
      <c r="C16" s="303"/>
      <c r="D16" s="303"/>
      <c r="E16" s="303"/>
      <c r="F16" s="303"/>
    </row>
    <row r="17" spans="1:6" s="6" customFormat="1" ht="12.75">
      <c r="A17" s="6" t="s">
        <v>555</v>
      </c>
      <c r="B17" s="306"/>
      <c r="C17" s="306"/>
      <c r="D17" s="306"/>
      <c r="E17" s="111" t="s">
        <v>360</v>
      </c>
      <c r="F17" s="307"/>
    </row>
    <row r="18" spans="1:5" s="6" customFormat="1" ht="12.75">
      <c r="A18" s="832" t="s">
        <v>132</v>
      </c>
      <c r="B18" s="833"/>
      <c r="C18" s="833"/>
      <c r="D18" s="833"/>
      <c r="E18" s="834"/>
    </row>
    <row r="19" spans="1:5" s="6" customFormat="1" ht="12.75">
      <c r="A19" s="594"/>
      <c r="B19" s="617" t="s">
        <v>71</v>
      </c>
      <c r="C19" s="617" t="s">
        <v>71</v>
      </c>
      <c r="D19" s="804" t="s">
        <v>72</v>
      </c>
      <c r="E19" s="830"/>
    </row>
    <row r="20" spans="1:5" s="6" customFormat="1" ht="12.75">
      <c r="A20" s="595" t="s">
        <v>314</v>
      </c>
      <c r="B20" s="618" t="s">
        <v>74</v>
      </c>
      <c r="C20" s="618" t="s">
        <v>75</v>
      </c>
      <c r="D20" s="610" t="str">
        <f>CONCATENATE("Até o  ",B13)</f>
        <v>Até o  Bimestre</v>
      </c>
      <c r="E20" s="610" t="s">
        <v>77</v>
      </c>
    </row>
    <row r="21" spans="1:5" s="6" customFormat="1" ht="12.75">
      <c r="A21" s="597"/>
      <c r="B21" s="621"/>
      <c r="C21" s="621" t="s">
        <v>79</v>
      </c>
      <c r="D21" s="613" t="s">
        <v>80</v>
      </c>
      <c r="E21" s="613" t="s">
        <v>133</v>
      </c>
    </row>
    <row r="22" spans="1:5" s="6" customFormat="1" ht="12.75">
      <c r="A22" s="7" t="s">
        <v>134</v>
      </c>
      <c r="B22" s="8">
        <f>B23+B26+B29+B32</f>
        <v>286915000</v>
      </c>
      <c r="C22" s="8">
        <f>C23+C26+C29+C32</f>
        <v>286915000</v>
      </c>
      <c r="D22" s="5">
        <f>D23+D26+D29+D32</f>
        <v>44721935.04</v>
      </c>
      <c r="E22" s="9">
        <f aca="true" t="shared" si="0" ref="E22:E44">IF(C22&gt;0,D22/C22*100,0)</f>
        <v>15.587172172943205</v>
      </c>
    </row>
    <row r="23" spans="1:5" s="6" customFormat="1" ht="12.75">
      <c r="A23" s="10" t="s">
        <v>554</v>
      </c>
      <c r="B23" s="8">
        <f>SUM(B24:B25)</f>
        <v>125330000</v>
      </c>
      <c r="C23" s="8">
        <f>SUM(C24:C25)</f>
        <v>125330000</v>
      </c>
      <c r="D23" s="5">
        <f>SUM(D24:D25)</f>
        <v>12489723.33</v>
      </c>
      <c r="E23" s="5">
        <f t="shared" si="0"/>
        <v>9.965469823665524</v>
      </c>
    </row>
    <row r="24" spans="1:5" s="6" customFormat="1" ht="12.75">
      <c r="A24" s="10" t="s">
        <v>553</v>
      </c>
      <c r="B24" s="8">
        <v>109000000</v>
      </c>
      <c r="C24" s="8">
        <v>109000000</v>
      </c>
      <c r="D24" s="5">
        <v>7229458.58</v>
      </c>
      <c r="E24" s="5">
        <f t="shared" si="0"/>
        <v>6.6325308073394496</v>
      </c>
    </row>
    <row r="25" spans="1:5" s="6" customFormat="1" ht="12.75">
      <c r="A25" s="10" t="s">
        <v>819</v>
      </c>
      <c r="B25" s="8">
        <v>16330000</v>
      </c>
      <c r="C25" s="8">
        <v>16330000</v>
      </c>
      <c r="D25" s="5">
        <v>5260264.75</v>
      </c>
      <c r="E25" s="5">
        <f t="shared" si="0"/>
        <v>32.212276484996934</v>
      </c>
    </row>
    <row r="26" spans="1:5" s="6" customFormat="1" ht="12.75">
      <c r="A26" s="10" t="s">
        <v>552</v>
      </c>
      <c r="B26" s="8">
        <f>SUM(B27:B28)</f>
        <v>30405000</v>
      </c>
      <c r="C26" s="8">
        <f>SUM(C27:C28)</f>
        <v>30405000</v>
      </c>
      <c r="D26" s="5">
        <f>SUM(D27:D28)</f>
        <v>8759936.75</v>
      </c>
      <c r="E26" s="5">
        <f t="shared" si="0"/>
        <v>28.810842789014963</v>
      </c>
    </row>
    <row r="27" spans="1:5" s="6" customFormat="1" ht="12.75">
      <c r="A27" s="10" t="s">
        <v>551</v>
      </c>
      <c r="B27" s="8">
        <v>30000000</v>
      </c>
      <c r="C27" s="8">
        <v>30000000</v>
      </c>
      <c r="D27" s="5">
        <v>8719697.52</v>
      </c>
      <c r="E27" s="5">
        <f t="shared" si="0"/>
        <v>29.0656584</v>
      </c>
    </row>
    <row r="28" spans="1:5" s="6" customFormat="1" ht="12.75">
      <c r="A28" s="10" t="s">
        <v>820</v>
      </c>
      <c r="B28" s="8">
        <v>405000</v>
      </c>
      <c r="C28" s="8">
        <v>405000</v>
      </c>
      <c r="D28" s="5">
        <v>40239.23</v>
      </c>
      <c r="E28" s="5">
        <f t="shared" si="0"/>
        <v>9.935612345679013</v>
      </c>
    </row>
    <row r="29" spans="1:5" s="6" customFormat="1" ht="12.75">
      <c r="A29" s="10" t="s">
        <v>550</v>
      </c>
      <c r="B29" s="8">
        <f>SUM(B30:B31)</f>
        <v>90380000</v>
      </c>
      <c r="C29" s="8">
        <f>SUM(C30:C31)</f>
        <v>90380000</v>
      </c>
      <c r="D29" s="5">
        <f>SUM(D30:D31)</f>
        <v>19244383.34</v>
      </c>
      <c r="E29" s="5">
        <f t="shared" si="0"/>
        <v>21.292745452533744</v>
      </c>
    </row>
    <row r="30" spans="1:5" s="6" customFormat="1" ht="12.75">
      <c r="A30" s="10" t="s">
        <v>549</v>
      </c>
      <c r="B30" s="8">
        <v>85500000</v>
      </c>
      <c r="C30" s="8">
        <v>85500000</v>
      </c>
      <c r="D30" s="5">
        <v>18039663.8</v>
      </c>
      <c r="E30" s="5">
        <f t="shared" si="0"/>
        <v>21.099021988304095</v>
      </c>
    </row>
    <row r="31" spans="1:5" s="6" customFormat="1" ht="12.75">
      <c r="A31" s="10" t="s">
        <v>821</v>
      </c>
      <c r="B31" s="8">
        <v>4880000</v>
      </c>
      <c r="C31" s="8">
        <v>4880000</v>
      </c>
      <c r="D31" s="5">
        <v>1204719.54</v>
      </c>
      <c r="E31" s="5">
        <f t="shared" si="0"/>
        <v>24.68687581967213</v>
      </c>
    </row>
    <row r="32" spans="1:5" s="6" customFormat="1" ht="12.75">
      <c r="A32" s="7" t="s">
        <v>822</v>
      </c>
      <c r="B32" s="8">
        <v>40800000</v>
      </c>
      <c r="C32" s="8">
        <v>40800000</v>
      </c>
      <c r="D32" s="5">
        <v>4227891.62</v>
      </c>
      <c r="E32" s="5">
        <f t="shared" si="0"/>
        <v>10.362479460784314</v>
      </c>
    </row>
    <row r="33" spans="1:5" s="6" customFormat="1" ht="12.75">
      <c r="A33" s="7" t="s">
        <v>315</v>
      </c>
      <c r="B33" s="11">
        <f>B34+B38+B39+B40+B41+B42+B43</f>
        <v>407855000</v>
      </c>
      <c r="C33" s="8">
        <f>C34+C38+C39+C40+C41+C42+C43</f>
        <v>407855000</v>
      </c>
      <c r="D33" s="5">
        <f>D34+D38+D39+D40+D41+D42+D43</f>
        <v>101630926.98000002</v>
      </c>
      <c r="E33" s="5">
        <f t="shared" si="0"/>
        <v>24.918396729229755</v>
      </c>
    </row>
    <row r="34" spans="1:5" s="6" customFormat="1" ht="12.75">
      <c r="A34" s="7" t="s">
        <v>548</v>
      </c>
      <c r="B34" s="11">
        <f>SUM(B35:B37)</f>
        <v>77050000</v>
      </c>
      <c r="C34" s="8">
        <f>SUM(C35:C37)</f>
        <v>77050000</v>
      </c>
      <c r="D34" s="5">
        <f>SUM(D35:D37)</f>
        <v>16688339.72</v>
      </c>
      <c r="E34" s="5">
        <f t="shared" si="0"/>
        <v>21.65910411421155</v>
      </c>
    </row>
    <row r="35" spans="1:5" s="6" customFormat="1" ht="12.75">
      <c r="A35" s="7" t="s">
        <v>547</v>
      </c>
      <c r="B35" s="11">
        <v>71000000</v>
      </c>
      <c r="C35" s="8">
        <v>71000000</v>
      </c>
      <c r="D35" s="5">
        <v>16688339.72</v>
      </c>
      <c r="E35" s="5">
        <f t="shared" si="0"/>
        <v>23.504703830985914</v>
      </c>
    </row>
    <row r="36" spans="1:5" s="6" customFormat="1" ht="12.75">
      <c r="A36" s="7" t="s">
        <v>546</v>
      </c>
      <c r="B36" s="11">
        <v>3050000</v>
      </c>
      <c r="C36" s="8">
        <v>3050000</v>
      </c>
      <c r="D36" s="5">
        <v>0</v>
      </c>
      <c r="E36" s="5">
        <f t="shared" si="0"/>
        <v>0</v>
      </c>
    </row>
    <row r="37" spans="1:5" s="6" customFormat="1" ht="12.75">
      <c r="A37" s="7" t="s">
        <v>622</v>
      </c>
      <c r="B37" s="11">
        <v>3000000</v>
      </c>
      <c r="C37" s="8">
        <v>3000000</v>
      </c>
      <c r="D37" s="5">
        <v>0</v>
      </c>
      <c r="E37" s="5">
        <f t="shared" si="0"/>
        <v>0</v>
      </c>
    </row>
    <row r="38" spans="1:5" s="6" customFormat="1" ht="12.75">
      <c r="A38" s="7" t="s">
        <v>545</v>
      </c>
      <c r="B38" s="11">
        <v>262000000</v>
      </c>
      <c r="C38" s="8">
        <v>262000000</v>
      </c>
      <c r="D38" s="5">
        <v>41644845.13</v>
      </c>
      <c r="E38" s="5">
        <f t="shared" si="0"/>
        <v>15.89497905725191</v>
      </c>
    </row>
    <row r="39" spans="1:5" s="6" customFormat="1" ht="12.75">
      <c r="A39" s="7" t="s">
        <v>544</v>
      </c>
      <c r="B39" s="11">
        <v>5000</v>
      </c>
      <c r="C39" s="8">
        <v>5000</v>
      </c>
      <c r="D39" s="5">
        <v>0</v>
      </c>
      <c r="E39" s="5">
        <f t="shared" si="0"/>
        <v>0</v>
      </c>
    </row>
    <row r="40" spans="1:5" s="6" customFormat="1" ht="12.75">
      <c r="A40" s="7" t="s">
        <v>543</v>
      </c>
      <c r="B40" s="8">
        <v>1800000</v>
      </c>
      <c r="C40" s="8">
        <v>1800000</v>
      </c>
      <c r="D40" s="5">
        <v>412784.84</v>
      </c>
      <c r="E40" s="5">
        <f t="shared" si="0"/>
        <v>22.932491111111112</v>
      </c>
    </row>
    <row r="41" spans="1:5" s="6" customFormat="1" ht="12.75">
      <c r="A41" s="7" t="s">
        <v>542</v>
      </c>
      <c r="B41" s="8">
        <v>1000000</v>
      </c>
      <c r="C41" s="8">
        <v>1000000</v>
      </c>
      <c r="D41" s="5">
        <v>24798.59</v>
      </c>
      <c r="E41" s="5">
        <f t="shared" si="0"/>
        <v>2.479859</v>
      </c>
    </row>
    <row r="42" spans="1:5" s="6" customFormat="1" ht="12.75">
      <c r="A42" s="7" t="s">
        <v>541</v>
      </c>
      <c r="B42" s="8">
        <v>66000000</v>
      </c>
      <c r="C42" s="8">
        <v>66000000</v>
      </c>
      <c r="D42" s="5">
        <v>42860158.7</v>
      </c>
      <c r="E42" s="5">
        <f t="shared" si="0"/>
        <v>64.9396343939394</v>
      </c>
    </row>
    <row r="43" spans="1:5" s="6" customFormat="1" ht="12.75">
      <c r="A43" s="7" t="s">
        <v>540</v>
      </c>
      <c r="B43" s="8"/>
      <c r="C43" s="8"/>
      <c r="D43" s="5"/>
      <c r="E43" s="5">
        <f t="shared" si="0"/>
        <v>0</v>
      </c>
    </row>
    <row r="44" spans="1:5" s="6" customFormat="1" ht="12.75">
      <c r="A44" s="12" t="s">
        <v>486</v>
      </c>
      <c r="B44" s="13">
        <f>B22+B33</f>
        <v>694770000</v>
      </c>
      <c r="C44" s="13">
        <f>C22+C33</f>
        <v>694770000</v>
      </c>
      <c r="D44" s="14">
        <f>D22+D33</f>
        <v>146352862.02</v>
      </c>
      <c r="E44" s="14">
        <f t="shared" si="0"/>
        <v>21.064936888466686</v>
      </c>
    </row>
    <row r="45" spans="1:5" s="6" customFormat="1" ht="12.75">
      <c r="A45" s="15"/>
      <c r="B45" s="16"/>
      <c r="C45" s="16"/>
      <c r="D45" s="16"/>
      <c r="E45" s="16"/>
    </row>
    <row r="46" spans="1:5" s="6" customFormat="1" ht="12.75">
      <c r="A46" s="623"/>
      <c r="B46" s="617" t="s">
        <v>71</v>
      </c>
      <c r="C46" s="617" t="s">
        <v>71</v>
      </c>
      <c r="D46" s="804" t="s">
        <v>72</v>
      </c>
      <c r="E46" s="830"/>
    </row>
    <row r="47" spans="1:5" s="6" customFormat="1" ht="12.75">
      <c r="A47" s="618" t="s">
        <v>539</v>
      </c>
      <c r="B47" s="618" t="s">
        <v>74</v>
      </c>
      <c r="C47" s="618" t="s">
        <v>75</v>
      </c>
      <c r="D47" s="610" t="str">
        <f>CONCATENATE("Até o  ",B13)</f>
        <v>Até o  Bimestre</v>
      </c>
      <c r="E47" s="619" t="s">
        <v>77</v>
      </c>
    </row>
    <row r="48" spans="1:5" s="6" customFormat="1" ht="12.75">
      <c r="A48" s="597"/>
      <c r="B48" s="621"/>
      <c r="C48" s="621" t="s">
        <v>79</v>
      </c>
      <c r="D48" s="613" t="s">
        <v>80</v>
      </c>
      <c r="E48" s="622" t="s">
        <v>133</v>
      </c>
    </row>
    <row r="49" spans="1:5" s="6" customFormat="1" ht="25.5">
      <c r="A49" s="7" t="s">
        <v>538</v>
      </c>
      <c r="B49" s="17">
        <v>143400</v>
      </c>
      <c r="C49" s="18">
        <v>143400</v>
      </c>
      <c r="D49" s="19">
        <v>32296.73</v>
      </c>
      <c r="E49" s="19">
        <f aca="true" t="shared" si="1" ref="E49:E62">IF(C49&gt;0,D49/C49*100,0)</f>
        <v>22.522126917712693</v>
      </c>
    </row>
    <row r="50" spans="1:5" s="6" customFormat="1" ht="12.75">
      <c r="A50" s="7" t="s">
        <v>537</v>
      </c>
      <c r="B50" s="20">
        <f>SUM(B51:B56)</f>
        <v>21969100</v>
      </c>
      <c r="C50" s="21">
        <f>SUM(C51:C56)</f>
        <v>21969100</v>
      </c>
      <c r="D50" s="22">
        <f>SUM(D51:D56)</f>
        <v>4802317.899999999</v>
      </c>
      <c r="E50" s="22">
        <f t="shared" si="1"/>
        <v>21.85942027666131</v>
      </c>
    </row>
    <row r="51" spans="1:5" s="6" customFormat="1" ht="12.75">
      <c r="A51" s="7" t="s">
        <v>536</v>
      </c>
      <c r="B51" s="20">
        <v>16800000</v>
      </c>
      <c r="C51" s="21">
        <v>16800000</v>
      </c>
      <c r="D51" s="22">
        <v>4058727.12</v>
      </c>
      <c r="E51" s="22">
        <f t="shared" si="1"/>
        <v>24.15909</v>
      </c>
    </row>
    <row r="52" spans="1:5" s="6" customFormat="1" ht="12.75">
      <c r="A52" s="23" t="s">
        <v>535</v>
      </c>
      <c r="B52" s="20"/>
      <c r="C52" s="21"/>
      <c r="D52" s="22"/>
      <c r="E52" s="22">
        <f t="shared" si="1"/>
        <v>0</v>
      </c>
    </row>
    <row r="53" spans="1:5" s="6" customFormat="1" ht="12.75">
      <c r="A53" s="23" t="s">
        <v>534</v>
      </c>
      <c r="B53" s="20">
        <v>4923000</v>
      </c>
      <c r="C53" s="21">
        <v>4923000</v>
      </c>
      <c r="D53" s="22">
        <v>701353.6</v>
      </c>
      <c r="E53" s="22">
        <f t="shared" si="1"/>
        <v>14.246467601056267</v>
      </c>
    </row>
    <row r="54" spans="1:5" s="6" customFormat="1" ht="12.75">
      <c r="A54" s="23" t="s">
        <v>533</v>
      </c>
      <c r="B54" s="20">
        <v>103000</v>
      </c>
      <c r="C54" s="21">
        <v>103000</v>
      </c>
      <c r="D54" s="22">
        <v>0</v>
      </c>
      <c r="E54" s="22">
        <f t="shared" si="1"/>
        <v>0</v>
      </c>
    </row>
    <row r="55" spans="1:5" s="6" customFormat="1" ht="12.75">
      <c r="A55" s="7" t="s">
        <v>618</v>
      </c>
      <c r="B55" s="20"/>
      <c r="C55" s="21"/>
      <c r="D55" s="22"/>
      <c r="E55" s="22">
        <f t="shared" si="1"/>
        <v>0</v>
      </c>
    </row>
    <row r="56" spans="1:5" s="6" customFormat="1" ht="12.75">
      <c r="A56" s="7" t="s">
        <v>619</v>
      </c>
      <c r="B56" s="20">
        <v>143100</v>
      </c>
      <c r="C56" s="21">
        <v>143100</v>
      </c>
      <c r="D56" s="22">
        <v>42237.18</v>
      </c>
      <c r="E56" s="22">
        <f t="shared" si="1"/>
        <v>29.51584905660377</v>
      </c>
    </row>
    <row r="57" spans="1:5" s="6" customFormat="1" ht="12.75">
      <c r="A57" s="7" t="s">
        <v>532</v>
      </c>
      <c r="B57" s="20">
        <f>SUM(B58:B59)</f>
        <v>10946500</v>
      </c>
      <c r="C57" s="21">
        <f>SUM(C58:C59)</f>
        <v>10946500</v>
      </c>
      <c r="D57" s="22">
        <f>SUM(D58:D59)</f>
        <v>0</v>
      </c>
      <c r="E57" s="22">
        <f t="shared" si="1"/>
        <v>0</v>
      </c>
    </row>
    <row r="58" spans="1:5" s="6" customFormat="1" ht="12.75">
      <c r="A58" s="24" t="s">
        <v>531</v>
      </c>
      <c r="B58" s="20">
        <v>10941000</v>
      </c>
      <c r="C58" s="21">
        <v>10941000</v>
      </c>
      <c r="D58" s="22">
        <v>0</v>
      </c>
      <c r="E58" s="22">
        <f t="shared" si="1"/>
        <v>0</v>
      </c>
    </row>
    <row r="59" spans="1:5" s="6" customFormat="1" ht="12.75">
      <c r="A59" s="25" t="s">
        <v>530</v>
      </c>
      <c r="B59" s="20">
        <v>5500</v>
      </c>
      <c r="C59" s="21">
        <v>5500</v>
      </c>
      <c r="D59" s="22">
        <v>0</v>
      </c>
      <c r="E59" s="22">
        <f t="shared" si="1"/>
        <v>0</v>
      </c>
    </row>
    <row r="60" spans="1:5" s="6" customFormat="1" ht="12.75">
      <c r="A60" s="7" t="s">
        <v>529</v>
      </c>
      <c r="B60" s="20"/>
      <c r="C60" s="21"/>
      <c r="D60" s="22"/>
      <c r="E60" s="22">
        <f t="shared" si="1"/>
        <v>0</v>
      </c>
    </row>
    <row r="61" spans="1:5" s="6" customFormat="1" ht="12.75">
      <c r="A61" s="7" t="s">
        <v>528</v>
      </c>
      <c r="B61" s="20">
        <v>42000</v>
      </c>
      <c r="C61" s="21">
        <v>42000</v>
      </c>
      <c r="D61" s="26">
        <v>0</v>
      </c>
      <c r="E61" s="22">
        <f t="shared" si="1"/>
        <v>0</v>
      </c>
    </row>
    <row r="62" spans="1:5" s="6" customFormat="1" ht="12.75">
      <c r="A62" s="12" t="s">
        <v>527</v>
      </c>
      <c r="B62" s="27">
        <f>B49+B50+B57+B60+B61</f>
        <v>33101000</v>
      </c>
      <c r="C62" s="28">
        <f>C49+C50+C57+C60+C61</f>
        <v>33101000</v>
      </c>
      <c r="D62" s="27">
        <f>D49+D50+D57+D60+D61</f>
        <v>4834614.63</v>
      </c>
      <c r="E62" s="29">
        <f t="shared" si="1"/>
        <v>14.605645237304007</v>
      </c>
    </row>
    <row r="63" spans="1:5" s="6" customFormat="1" ht="15" customHeight="1">
      <c r="A63" s="15"/>
      <c r="B63" s="30"/>
      <c r="C63" s="31"/>
      <c r="D63" s="31"/>
      <c r="E63" s="16"/>
    </row>
    <row r="64" spans="1:5" s="6" customFormat="1" ht="12.75">
      <c r="A64" s="832" t="s">
        <v>135</v>
      </c>
      <c r="B64" s="833"/>
      <c r="C64" s="833"/>
      <c r="D64" s="833"/>
      <c r="E64" s="834"/>
    </row>
    <row r="65" spans="1:5" s="6" customFormat="1" ht="12.75">
      <c r="A65" s="616"/>
      <c r="B65" s="617" t="s">
        <v>71</v>
      </c>
      <c r="C65" s="617" t="s">
        <v>71</v>
      </c>
      <c r="D65" s="804" t="s">
        <v>72</v>
      </c>
      <c r="E65" s="806"/>
    </row>
    <row r="66" spans="1:5" s="6" customFormat="1" ht="12.75">
      <c r="A66" s="618" t="s">
        <v>136</v>
      </c>
      <c r="B66" s="618" t="s">
        <v>74</v>
      </c>
      <c r="C66" s="618" t="s">
        <v>75</v>
      </c>
      <c r="D66" s="610" t="str">
        <f>CONCATENATE("Até o  ",B13)</f>
        <v>Até o  Bimestre</v>
      </c>
      <c r="E66" s="619" t="s">
        <v>77</v>
      </c>
    </row>
    <row r="67" spans="1:5" s="6" customFormat="1" ht="12.75">
      <c r="A67" s="620"/>
      <c r="B67" s="621"/>
      <c r="C67" s="621" t="s">
        <v>79</v>
      </c>
      <c r="D67" s="613" t="s">
        <v>80</v>
      </c>
      <c r="E67" s="622" t="s">
        <v>133</v>
      </c>
    </row>
    <row r="68" spans="1:5" s="6" customFormat="1" ht="12.75">
      <c r="A68" s="32" t="s">
        <v>526</v>
      </c>
      <c r="B68" s="33">
        <f>SUM(B69:B74)</f>
        <v>80361000</v>
      </c>
      <c r="C68" s="9">
        <f>SUM(C69:C74)</f>
        <v>80361000</v>
      </c>
      <c r="D68" s="5">
        <f>SUM(D69:D74)</f>
        <v>20326185.33</v>
      </c>
      <c r="E68" s="34">
        <f aca="true" t="shared" si="2" ref="E68:E79">IF(C68&gt;0,D68/C68*100,0)</f>
        <v>25.293594318139395</v>
      </c>
    </row>
    <row r="69" spans="1:5" s="6" customFormat="1" ht="12.75">
      <c r="A69" s="7" t="s">
        <v>525</v>
      </c>
      <c r="B69" s="11">
        <v>14200000</v>
      </c>
      <c r="C69" s="5">
        <v>14200000</v>
      </c>
      <c r="D69" s="5">
        <v>3337667.84</v>
      </c>
      <c r="E69" s="35">
        <f t="shared" si="2"/>
        <v>23.50470309859155</v>
      </c>
    </row>
    <row r="70" spans="1:5" s="6" customFormat="1" ht="12.75">
      <c r="A70" s="7" t="s">
        <v>524</v>
      </c>
      <c r="B70" s="11">
        <v>52400000</v>
      </c>
      <c r="C70" s="5">
        <v>52400000</v>
      </c>
      <c r="D70" s="5">
        <v>8328969</v>
      </c>
      <c r="E70" s="35">
        <f t="shared" si="2"/>
        <v>15.894979007633589</v>
      </c>
    </row>
    <row r="71" spans="1:5" s="6" customFormat="1" ht="12.75">
      <c r="A71" s="7" t="s">
        <v>523</v>
      </c>
      <c r="B71" s="11">
        <v>1000</v>
      </c>
      <c r="C71" s="5">
        <v>1000</v>
      </c>
      <c r="D71" s="5">
        <v>0</v>
      </c>
      <c r="E71" s="35">
        <f t="shared" si="2"/>
        <v>0</v>
      </c>
    </row>
    <row r="72" spans="1:5" s="6" customFormat="1" ht="12.75">
      <c r="A72" s="7" t="s">
        <v>522</v>
      </c>
      <c r="B72" s="11">
        <v>360000</v>
      </c>
      <c r="C72" s="5">
        <v>360000</v>
      </c>
      <c r="D72" s="5">
        <v>82556.98</v>
      </c>
      <c r="E72" s="35">
        <f t="shared" si="2"/>
        <v>22.932494444444444</v>
      </c>
    </row>
    <row r="73" spans="1:5" s="6" customFormat="1" ht="11.25" customHeight="1">
      <c r="A73" s="7" t="s">
        <v>934</v>
      </c>
      <c r="B73" s="11">
        <v>200000</v>
      </c>
      <c r="C73" s="5">
        <v>200000</v>
      </c>
      <c r="D73" s="5">
        <v>4959.7</v>
      </c>
      <c r="E73" s="35">
        <f t="shared" si="2"/>
        <v>2.47985</v>
      </c>
    </row>
    <row r="74" spans="1:5" s="6" customFormat="1" ht="12.75">
      <c r="A74" s="7" t="s">
        <v>521</v>
      </c>
      <c r="B74" s="11">
        <v>13200000</v>
      </c>
      <c r="C74" s="5">
        <v>13200000</v>
      </c>
      <c r="D74" s="5">
        <v>8572031.81</v>
      </c>
      <c r="E74" s="35">
        <f t="shared" si="2"/>
        <v>64.93963492424243</v>
      </c>
    </row>
    <row r="75" spans="1:5" s="6" customFormat="1" ht="12.75">
      <c r="A75" s="7" t="s">
        <v>520</v>
      </c>
      <c r="B75" s="11">
        <f>SUM(B76:B78)</f>
        <v>117860000</v>
      </c>
      <c r="C75" s="5">
        <f>SUM(C76:C78)</f>
        <v>117860000</v>
      </c>
      <c r="D75" s="5">
        <f>SUM(D76:D78)</f>
        <v>25137449.830000002</v>
      </c>
      <c r="E75" s="35">
        <f t="shared" si="2"/>
        <v>21.328228262345156</v>
      </c>
    </row>
    <row r="76" spans="1:5" s="6" customFormat="1" ht="12.75">
      <c r="A76" s="7" t="s">
        <v>519</v>
      </c>
      <c r="B76" s="11">
        <v>117800000</v>
      </c>
      <c r="C76" s="5">
        <v>117800000</v>
      </c>
      <c r="D76" s="5">
        <v>25113821.73</v>
      </c>
      <c r="E76" s="35">
        <f t="shared" si="2"/>
        <v>21.31903372665535</v>
      </c>
    </row>
    <row r="77" spans="1:5" s="6" customFormat="1" ht="12.75">
      <c r="A77" s="7" t="s">
        <v>518</v>
      </c>
      <c r="B77" s="11"/>
      <c r="C77" s="5"/>
      <c r="D77" s="5"/>
      <c r="E77" s="35">
        <f t="shared" si="2"/>
        <v>0</v>
      </c>
    </row>
    <row r="78" spans="1:5" s="6" customFormat="1" ht="12.75">
      <c r="A78" s="7" t="s">
        <v>517</v>
      </c>
      <c r="B78" s="11">
        <v>60000</v>
      </c>
      <c r="C78" s="36">
        <v>60000</v>
      </c>
      <c r="D78" s="36">
        <v>23628.1</v>
      </c>
      <c r="E78" s="35">
        <f t="shared" si="2"/>
        <v>39.38016666666667</v>
      </c>
    </row>
    <row r="79" spans="1:5" s="6" customFormat="1" ht="12.75">
      <c r="A79" s="12" t="s">
        <v>516</v>
      </c>
      <c r="B79" s="37">
        <f>B76-B68</f>
        <v>37439000</v>
      </c>
      <c r="C79" s="13">
        <f>C76-C68</f>
        <v>37439000</v>
      </c>
      <c r="D79" s="13">
        <f>D76-D68</f>
        <v>4787636.400000002</v>
      </c>
      <c r="E79" s="14">
        <f t="shared" si="2"/>
        <v>12.787831939955668</v>
      </c>
    </row>
    <row r="80" spans="1:10" s="6" customFormat="1" ht="12.75" hidden="1">
      <c r="A80" s="38"/>
      <c r="B80" s="14"/>
      <c r="C80" s="14"/>
      <c r="D80" s="14"/>
      <c r="E80" s="14"/>
      <c r="F80" s="39"/>
      <c r="G80" s="39"/>
      <c r="H80" s="39"/>
      <c r="I80" s="39"/>
      <c r="J80" s="60"/>
    </row>
    <row r="81" spans="1:12" s="6" customFormat="1" ht="12.75" hidden="1">
      <c r="A81" s="40"/>
      <c r="B81" s="14"/>
      <c r="C81" s="14"/>
      <c r="D81" s="14"/>
      <c r="E81" s="14"/>
      <c r="F81" s="41"/>
      <c r="H81" s="42"/>
      <c r="I81" s="42"/>
      <c r="J81" s="42"/>
      <c r="K81" s="42"/>
      <c r="L81" s="60"/>
    </row>
    <row r="82" spans="1:12" s="6" customFormat="1" ht="12.75">
      <c r="A82" s="41"/>
      <c r="B82" s="41"/>
      <c r="C82" s="41"/>
      <c r="D82" s="43"/>
      <c r="E82" s="43"/>
      <c r="F82" s="41"/>
      <c r="H82" s="42"/>
      <c r="I82" s="42"/>
      <c r="J82" s="42"/>
      <c r="K82" s="42"/>
      <c r="L82" s="60"/>
    </row>
    <row r="83" spans="1:12" s="6" customFormat="1" ht="44.25" customHeight="1">
      <c r="A83" s="836" t="s">
        <v>137</v>
      </c>
      <c r="B83" s="610" t="s">
        <v>103</v>
      </c>
      <c r="C83" s="610" t="s">
        <v>103</v>
      </c>
      <c r="D83" s="835" t="s">
        <v>104</v>
      </c>
      <c r="E83" s="829"/>
      <c r="F83" s="835" t="s">
        <v>105</v>
      </c>
      <c r="G83" s="829"/>
      <c r="H83" s="624" t="s">
        <v>1083</v>
      </c>
      <c r="I83" s="308"/>
      <c r="J83" s="309"/>
      <c r="K83" s="310"/>
      <c r="L83" s="60"/>
    </row>
    <row r="84" spans="1:12" s="6" customFormat="1" ht="12.75">
      <c r="A84" s="837"/>
      <c r="B84" s="595" t="s">
        <v>74</v>
      </c>
      <c r="C84" s="595" t="s">
        <v>75</v>
      </c>
      <c r="D84" s="610" t="str">
        <f>CONCATENATE("Até o  ",B13)</f>
        <v>Até o  Bimestre</v>
      </c>
      <c r="E84" s="611" t="s">
        <v>77</v>
      </c>
      <c r="F84" s="610" t="str">
        <f>CONCATENATE("Até o  ",B13)</f>
        <v>Até o  Bimestre</v>
      </c>
      <c r="G84" s="611" t="s">
        <v>77</v>
      </c>
      <c r="H84" s="612"/>
      <c r="I84" s="310"/>
      <c r="J84" s="310"/>
      <c r="K84" s="60"/>
      <c r="L84" s="60"/>
    </row>
    <row r="85" spans="1:12" s="6" customFormat="1" ht="12.75">
      <c r="A85" s="838"/>
      <c r="B85" s="597"/>
      <c r="C85" s="613" t="s">
        <v>108</v>
      </c>
      <c r="D85" s="613" t="s">
        <v>109</v>
      </c>
      <c r="E85" s="614" t="s">
        <v>138</v>
      </c>
      <c r="F85" s="613" t="s">
        <v>110</v>
      </c>
      <c r="G85" s="614" t="s">
        <v>484</v>
      </c>
      <c r="H85" s="615" t="s">
        <v>328</v>
      </c>
      <c r="I85" s="310"/>
      <c r="J85" s="310"/>
      <c r="K85" s="310"/>
      <c r="L85" s="60"/>
    </row>
    <row r="86" spans="1:8" s="6" customFormat="1" ht="12.75">
      <c r="A86" s="44" t="s">
        <v>515</v>
      </c>
      <c r="B86" s="45">
        <f>SUM(B87:B88)</f>
        <v>91476000</v>
      </c>
      <c r="C86" s="45">
        <f>SUM(C87:C88)</f>
        <v>96116306.26</v>
      </c>
      <c r="D86" s="45">
        <f>SUM(D87:D88)</f>
        <v>14809543.669999998</v>
      </c>
      <c r="E86" s="45">
        <f aca="true" t="shared" si="3" ref="E86:E92">IF(C86&gt;0,D86/C86*100,0)</f>
        <v>15.407940906446562</v>
      </c>
      <c r="F86" s="46">
        <f>SUM(F87:F88)</f>
        <v>14809543.669999998</v>
      </c>
      <c r="G86" s="47">
        <f aca="true" t="shared" si="4" ref="G86:G92">IF(C86&gt;0,F86/C86*100,0)</f>
        <v>15.407940906446562</v>
      </c>
      <c r="H86" s="9">
        <f>SUM(H87:H88)</f>
        <v>0</v>
      </c>
    </row>
    <row r="87" spans="1:8" s="6" customFormat="1" ht="12.75">
      <c r="A87" s="48" t="s">
        <v>514</v>
      </c>
      <c r="B87" s="49">
        <v>27507000</v>
      </c>
      <c r="C87" s="49">
        <v>28747306.26</v>
      </c>
      <c r="D87" s="49">
        <v>4455132.72</v>
      </c>
      <c r="E87" s="49">
        <f t="shared" si="3"/>
        <v>15.497565857845352</v>
      </c>
      <c r="F87" s="50">
        <v>4455132.72</v>
      </c>
      <c r="G87" s="8">
        <f t="shared" si="4"/>
        <v>15.497565857845352</v>
      </c>
      <c r="H87" s="5"/>
    </row>
    <row r="88" spans="1:8" s="6" customFormat="1" ht="12.75">
      <c r="A88" s="48" t="s">
        <v>513</v>
      </c>
      <c r="B88" s="49">
        <v>63969000</v>
      </c>
      <c r="C88" s="49">
        <v>67369000</v>
      </c>
      <c r="D88" s="49">
        <v>10354410.95</v>
      </c>
      <c r="E88" s="49">
        <f t="shared" si="3"/>
        <v>15.369696670575486</v>
      </c>
      <c r="F88" s="50">
        <v>10354410.95</v>
      </c>
      <c r="G88" s="8">
        <f t="shared" si="4"/>
        <v>15.369696670575486</v>
      </c>
      <c r="H88" s="5"/>
    </row>
    <row r="89" spans="1:8" s="6" customFormat="1" ht="12.75">
      <c r="A89" s="48" t="s">
        <v>512</v>
      </c>
      <c r="B89" s="49">
        <f>SUM(B90:B91)</f>
        <v>26384000</v>
      </c>
      <c r="C89" s="49">
        <f>SUM(C90:C91)</f>
        <v>27784000</v>
      </c>
      <c r="D89" s="49">
        <f>SUM(D90:D91)</f>
        <v>7600274.04</v>
      </c>
      <c r="E89" s="49">
        <f t="shared" si="3"/>
        <v>27.354859055571552</v>
      </c>
      <c r="F89" s="50">
        <f>SUM(F90:F91)</f>
        <v>7600274.04</v>
      </c>
      <c r="G89" s="8">
        <f t="shared" si="4"/>
        <v>27.354859055571552</v>
      </c>
      <c r="H89" s="5">
        <f>SUM(H90:H91)</f>
        <v>0</v>
      </c>
    </row>
    <row r="90" spans="1:8" s="6" customFormat="1" ht="12.75">
      <c r="A90" s="48" t="s">
        <v>511</v>
      </c>
      <c r="B90" s="49">
        <v>16636000</v>
      </c>
      <c r="C90" s="49">
        <v>18036000</v>
      </c>
      <c r="D90" s="49">
        <v>4599562.59</v>
      </c>
      <c r="E90" s="49">
        <f t="shared" si="3"/>
        <v>25.502121257485026</v>
      </c>
      <c r="F90" s="50">
        <v>4599562.59</v>
      </c>
      <c r="G90" s="8">
        <f t="shared" si="4"/>
        <v>25.502121257485026</v>
      </c>
      <c r="H90" s="5"/>
    </row>
    <row r="91" spans="1:8" s="6" customFormat="1" ht="12.75">
      <c r="A91" s="51" t="s">
        <v>510</v>
      </c>
      <c r="B91" s="49">
        <v>9748000</v>
      </c>
      <c r="C91" s="49">
        <v>9748000</v>
      </c>
      <c r="D91" s="49">
        <v>3000711.45</v>
      </c>
      <c r="E91" s="49">
        <f t="shared" si="3"/>
        <v>30.782842121460813</v>
      </c>
      <c r="F91" s="50">
        <v>3000711.45</v>
      </c>
      <c r="G91" s="52">
        <f t="shared" si="4"/>
        <v>30.782842121460813</v>
      </c>
      <c r="H91" s="36"/>
    </row>
    <row r="92" spans="1:8" s="6" customFormat="1" ht="12.75">
      <c r="A92" s="51" t="s">
        <v>509</v>
      </c>
      <c r="B92" s="53">
        <f>B86+B89</f>
        <v>117860000</v>
      </c>
      <c r="C92" s="54">
        <f>C86+C89</f>
        <v>123900306.26</v>
      </c>
      <c r="D92" s="54">
        <f>D86+D89</f>
        <v>22409817.709999997</v>
      </c>
      <c r="E92" s="53">
        <f t="shared" si="3"/>
        <v>18.086975235536432</v>
      </c>
      <c r="F92" s="55">
        <f>F86+F89</f>
        <v>22409817.709999997</v>
      </c>
      <c r="G92" s="13">
        <f t="shared" si="4"/>
        <v>18.086975235536432</v>
      </c>
      <c r="H92" s="14">
        <f>H86+H89</f>
        <v>0</v>
      </c>
    </row>
    <row r="93" spans="1:8" s="6" customFormat="1" ht="12.75">
      <c r="A93" s="15"/>
      <c r="B93" s="15"/>
      <c r="C93" s="56"/>
      <c r="D93" s="56"/>
      <c r="E93" s="56"/>
      <c r="F93" s="56"/>
      <c r="G93" s="57"/>
      <c r="H93" s="57"/>
    </row>
    <row r="94" spans="1:9" s="311" customFormat="1" ht="12.75" customHeight="1">
      <c r="A94" s="575" t="s">
        <v>479</v>
      </c>
      <c r="B94" s="588" t="s">
        <v>157</v>
      </c>
      <c r="C94" s="58"/>
      <c r="D94" s="58"/>
      <c r="E94" s="58"/>
      <c r="F94" s="58"/>
      <c r="G94" s="58"/>
      <c r="H94" s="58"/>
      <c r="I94" s="58"/>
    </row>
    <row r="95" spans="1:9" s="6" customFormat="1" ht="25.5">
      <c r="A95" s="59" t="s">
        <v>508</v>
      </c>
      <c r="B95" s="5"/>
      <c r="C95" s="60"/>
      <c r="D95" s="60"/>
      <c r="E95" s="60"/>
      <c r="F95" s="60"/>
      <c r="G95" s="60"/>
      <c r="H95" s="60"/>
      <c r="I95" s="60"/>
    </row>
    <row r="96" spans="1:9" s="6" customFormat="1" ht="12.75">
      <c r="A96" s="61" t="s">
        <v>507</v>
      </c>
      <c r="B96" s="5">
        <f>ROUND(B95*0.6,2)</f>
        <v>0</v>
      </c>
      <c r="C96" s="60"/>
      <c r="D96" s="60"/>
      <c r="E96" s="60"/>
      <c r="F96" s="60"/>
      <c r="G96" s="60"/>
      <c r="H96" s="60"/>
      <c r="I96" s="60"/>
    </row>
    <row r="97" spans="1:9" s="6" customFormat="1" ht="12.75">
      <c r="A97" s="61" t="s">
        <v>506</v>
      </c>
      <c r="B97" s="5">
        <f>B95-B96</f>
        <v>0</v>
      </c>
      <c r="C97" s="60"/>
      <c r="D97" s="60"/>
      <c r="E97" s="60"/>
      <c r="F97" s="60"/>
      <c r="G97" s="60"/>
      <c r="H97" s="60"/>
      <c r="I97" s="60"/>
    </row>
    <row r="98" spans="1:9" s="6" customFormat="1" ht="12.75" customHeight="1">
      <c r="A98" s="62" t="s">
        <v>505</v>
      </c>
      <c r="B98" s="5">
        <f>SUM(B99:B100)</f>
        <v>6040306.26</v>
      </c>
      <c r="C98" s="60"/>
      <c r="D98" s="60"/>
      <c r="E98" s="60"/>
      <c r="F98" s="60"/>
      <c r="G98" s="60"/>
      <c r="H98" s="60"/>
      <c r="I98" s="60"/>
    </row>
    <row r="99" spans="1:9" s="6" customFormat="1" ht="12.75">
      <c r="A99" s="61" t="s">
        <v>504</v>
      </c>
      <c r="B99" s="5">
        <v>4640306.26</v>
      </c>
      <c r="C99" s="60"/>
      <c r="D99" s="60"/>
      <c r="E99" s="60"/>
      <c r="F99" s="60"/>
      <c r="G99" s="60"/>
      <c r="H99" s="60"/>
      <c r="I99" s="60"/>
    </row>
    <row r="100" spans="1:9" s="6" customFormat="1" ht="12.75">
      <c r="A100" s="63" t="s">
        <v>503</v>
      </c>
      <c r="B100" s="36">
        <v>1400000</v>
      </c>
      <c r="C100" s="60"/>
      <c r="D100" s="60"/>
      <c r="E100" s="60"/>
      <c r="F100" s="60"/>
      <c r="G100" s="60"/>
      <c r="H100" s="60"/>
      <c r="I100" s="60"/>
    </row>
    <row r="101" spans="1:9" s="6" customFormat="1" ht="12.75" customHeight="1">
      <c r="A101" s="64" t="s">
        <v>502</v>
      </c>
      <c r="B101" s="65">
        <f>B95+B98</f>
        <v>6040306.26</v>
      </c>
      <c r="C101" s="60"/>
      <c r="D101" s="60"/>
      <c r="E101" s="60"/>
      <c r="F101" s="60"/>
      <c r="G101" s="60"/>
      <c r="H101" s="60"/>
      <c r="I101" s="60"/>
    </row>
    <row r="102" spans="1:11" s="6" customFormat="1" ht="12.75" customHeight="1">
      <c r="A102" s="66"/>
      <c r="B102" s="66"/>
      <c r="C102" s="67"/>
      <c r="D102" s="67"/>
      <c r="E102" s="67"/>
      <c r="F102" s="67"/>
      <c r="G102" s="68"/>
      <c r="H102" s="68"/>
      <c r="I102" s="60"/>
      <c r="J102" s="60"/>
      <c r="K102" s="60"/>
    </row>
    <row r="103" spans="1:11" s="6" customFormat="1" ht="15.75" customHeight="1">
      <c r="A103" s="575" t="s">
        <v>480</v>
      </c>
      <c r="B103" s="588" t="s">
        <v>157</v>
      </c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2" s="6" customFormat="1" ht="12.75" customHeight="1">
      <c r="A104" s="69" t="s">
        <v>501</v>
      </c>
      <c r="B104" s="21">
        <f>F92+H92-B101</f>
        <v>16369511.449999997</v>
      </c>
    </row>
    <row r="105" spans="1:2" s="6" customFormat="1" ht="14.25" customHeight="1">
      <c r="A105" s="70" t="s">
        <v>500</v>
      </c>
      <c r="B105" s="21">
        <f>IF(D75&gt;0,(((F86+H86)-(B96+B99))/D75*100),0)</f>
        <v>40.45453090417962</v>
      </c>
    </row>
    <row r="106" spans="1:2" s="6" customFormat="1" ht="12.75" customHeight="1">
      <c r="A106" s="70" t="s">
        <v>499</v>
      </c>
      <c r="B106" s="21">
        <f>IF(D75&gt;0,(((F89+H89)-(B97+B100))/D75*100),0)</f>
        <v>24.665485488509475</v>
      </c>
    </row>
    <row r="107" spans="1:2" s="6" customFormat="1" ht="13.5" customHeight="1">
      <c r="A107" s="71" t="s">
        <v>498</v>
      </c>
      <c r="B107" s="72">
        <f>100-B105-B106</f>
        <v>34.879983607310905</v>
      </c>
    </row>
    <row r="108" spans="1:2" s="6" customFormat="1" ht="13.5" customHeight="1">
      <c r="A108" s="41"/>
      <c r="B108" s="73"/>
    </row>
    <row r="109" spans="1:2" s="74" customFormat="1" ht="16.5" customHeight="1">
      <c r="A109" s="575" t="s">
        <v>497</v>
      </c>
      <c r="B109" s="588" t="s">
        <v>157</v>
      </c>
    </row>
    <row r="110" spans="1:2" s="6" customFormat="1" ht="13.5" customHeight="1">
      <c r="A110" s="75" t="s">
        <v>496</v>
      </c>
      <c r="B110" s="21">
        <v>6040306.26</v>
      </c>
    </row>
    <row r="111" spans="1:2" s="6" customFormat="1" ht="17.25" customHeight="1">
      <c r="A111" s="76" t="s">
        <v>495</v>
      </c>
      <c r="B111" s="77">
        <f>B98</f>
        <v>6040306.26</v>
      </c>
    </row>
    <row r="112" spans="1:12" s="6" customFormat="1" ht="12.75">
      <c r="A112" s="41"/>
      <c r="B112" s="41"/>
      <c r="C112" s="41"/>
      <c r="D112" s="41"/>
      <c r="E112" s="41"/>
      <c r="F112" s="41"/>
      <c r="G112" s="60"/>
      <c r="H112" s="42"/>
      <c r="I112" s="42"/>
      <c r="J112" s="42"/>
      <c r="K112" s="42"/>
      <c r="L112" s="60"/>
    </row>
    <row r="113" spans="1:12" s="6" customFormat="1" ht="12.75">
      <c r="A113" s="41"/>
      <c r="B113" s="41"/>
      <c r="C113" s="41"/>
      <c r="D113" s="41"/>
      <c r="E113" s="41"/>
      <c r="F113" s="41"/>
      <c r="G113" s="60"/>
      <c r="H113" s="42"/>
      <c r="I113" s="42"/>
      <c r="J113" s="42"/>
      <c r="K113" s="42"/>
      <c r="L113" s="60"/>
    </row>
    <row r="114" spans="1:12" s="6" customFormat="1" ht="12.75">
      <c r="A114" s="41"/>
      <c r="B114" s="41"/>
      <c r="C114" s="41"/>
      <c r="D114" s="41"/>
      <c r="E114" s="41"/>
      <c r="F114" s="41"/>
      <c r="G114" s="60"/>
      <c r="H114" s="42"/>
      <c r="I114" s="42"/>
      <c r="J114" s="42"/>
      <c r="K114" s="42"/>
      <c r="L114" s="60"/>
    </row>
    <row r="115" spans="1:12" s="6" customFormat="1" ht="12.75">
      <c r="A115" s="41"/>
      <c r="B115" s="41"/>
      <c r="C115" s="41"/>
      <c r="D115" s="41"/>
      <c r="E115" s="41"/>
      <c r="F115" s="41"/>
      <c r="G115" s="60"/>
      <c r="H115" s="42"/>
      <c r="I115" s="42"/>
      <c r="J115" s="42"/>
      <c r="K115" s="42"/>
      <c r="L115" s="60"/>
    </row>
    <row r="116" spans="1:12" s="6" customFormat="1" ht="12.75">
      <c r="A116" s="41"/>
      <c r="B116" s="41"/>
      <c r="C116" s="41"/>
      <c r="D116" s="41"/>
      <c r="E116" s="41"/>
      <c r="F116" s="41"/>
      <c r="G116" s="60"/>
      <c r="H116" s="42"/>
      <c r="I116" s="42"/>
      <c r="J116" s="42"/>
      <c r="K116" s="42"/>
      <c r="L116" s="60"/>
    </row>
    <row r="117" spans="1:12" s="6" customFormat="1" ht="12.75">
      <c r="A117" s="41"/>
      <c r="B117" s="41"/>
      <c r="C117" s="41"/>
      <c r="D117" s="41"/>
      <c r="E117" s="41"/>
      <c r="F117" s="41"/>
      <c r="G117" s="60"/>
      <c r="H117" s="42"/>
      <c r="I117" s="42"/>
      <c r="J117" s="42"/>
      <c r="K117" s="42"/>
      <c r="L117" s="60"/>
    </row>
    <row r="118" spans="1:12" s="6" customFormat="1" ht="12.75">
      <c r="A118" s="41"/>
      <c r="B118" s="41"/>
      <c r="C118" s="41"/>
      <c r="D118" s="41"/>
      <c r="E118" s="41"/>
      <c r="F118" s="41"/>
      <c r="G118" s="60"/>
      <c r="H118" s="42"/>
      <c r="I118" s="42"/>
      <c r="J118" s="42"/>
      <c r="K118" s="42"/>
      <c r="L118" s="60"/>
    </row>
    <row r="119" spans="1:12" s="6" customFormat="1" ht="12.75">
      <c r="A119" s="41"/>
      <c r="B119" s="41"/>
      <c r="C119" s="41"/>
      <c r="D119" s="41"/>
      <c r="E119" s="41"/>
      <c r="F119" s="41"/>
      <c r="G119" s="60"/>
      <c r="H119" s="42"/>
      <c r="I119" s="42"/>
      <c r="J119" s="42"/>
      <c r="K119" s="42"/>
      <c r="L119" s="60"/>
    </row>
    <row r="120" spans="1:12" s="6" customFormat="1" ht="12.75">
      <c r="A120" s="41"/>
      <c r="B120" s="41"/>
      <c r="C120" s="41"/>
      <c r="D120" s="41"/>
      <c r="E120" s="41"/>
      <c r="F120" s="41"/>
      <c r="G120" s="60"/>
      <c r="H120" s="42"/>
      <c r="I120" s="42"/>
      <c r="J120" s="42"/>
      <c r="K120" s="42"/>
      <c r="L120" s="60"/>
    </row>
    <row r="121" spans="1:12" s="6" customFormat="1" ht="44.25" customHeight="1">
      <c r="A121" s="836" t="s">
        <v>316</v>
      </c>
      <c r="B121" s="610" t="s">
        <v>103</v>
      </c>
      <c r="C121" s="610" t="s">
        <v>103</v>
      </c>
      <c r="D121" s="835" t="s">
        <v>104</v>
      </c>
      <c r="E121" s="829"/>
      <c r="F121" s="835" t="s">
        <v>105</v>
      </c>
      <c r="G121" s="829"/>
      <c r="H121" s="624" t="s">
        <v>1083</v>
      </c>
      <c r="I121" s="308"/>
      <c r="J121" s="309"/>
      <c r="K121" s="310"/>
      <c r="L121" s="60"/>
    </row>
    <row r="122" spans="1:12" s="6" customFormat="1" ht="12.75">
      <c r="A122" s="837"/>
      <c r="B122" s="595" t="s">
        <v>74</v>
      </c>
      <c r="C122" s="595" t="s">
        <v>75</v>
      </c>
      <c r="D122" s="610" t="str">
        <f>CONCATENATE("Até o  ",B13)</f>
        <v>Até o  Bimestre</v>
      </c>
      <c r="E122" s="611" t="s">
        <v>77</v>
      </c>
      <c r="F122" s="610" t="str">
        <f>CONCATENATE("Até o  ",B13)</f>
        <v>Até o  Bimestre</v>
      </c>
      <c r="G122" s="611" t="s">
        <v>77</v>
      </c>
      <c r="H122" s="612"/>
      <c r="I122" s="310"/>
      <c r="J122" s="310"/>
      <c r="K122" s="60"/>
      <c r="L122" s="60"/>
    </row>
    <row r="123" spans="1:12" s="6" customFormat="1" ht="12.75">
      <c r="A123" s="838"/>
      <c r="B123" s="597"/>
      <c r="C123" s="613" t="s">
        <v>108</v>
      </c>
      <c r="D123" s="613" t="s">
        <v>109</v>
      </c>
      <c r="E123" s="614" t="s">
        <v>138</v>
      </c>
      <c r="F123" s="613" t="s">
        <v>110</v>
      </c>
      <c r="G123" s="614" t="s">
        <v>484</v>
      </c>
      <c r="H123" s="615" t="s">
        <v>328</v>
      </c>
      <c r="I123" s="310"/>
      <c r="J123" s="310"/>
      <c r="K123" s="310"/>
      <c r="L123" s="60"/>
    </row>
    <row r="124" spans="1:12" s="6" customFormat="1" ht="12.75">
      <c r="A124" s="32" t="s">
        <v>823</v>
      </c>
      <c r="B124" s="18">
        <f>B125+B128</f>
        <v>99404000</v>
      </c>
      <c r="C124" s="19">
        <f>C125+C128</f>
        <v>104216306.25999999</v>
      </c>
      <c r="D124" s="19">
        <f>D125+D128</f>
        <v>44679297.31</v>
      </c>
      <c r="E124" s="19">
        <f aca="true" t="shared" si="5" ref="E124:E138">IF(C124&gt;0,D124/C124*100,0)</f>
        <v>42.871695335789006</v>
      </c>
      <c r="F124" s="78">
        <f>F125+F128</f>
        <v>17313668.71</v>
      </c>
      <c r="G124" s="78">
        <f aca="true" t="shared" si="6" ref="G124:G138">IF(C124&gt;0,F124/C124*100,0)</f>
        <v>16.613205103245235</v>
      </c>
      <c r="H124" s="18">
        <f>H125+H128</f>
        <v>0</v>
      </c>
      <c r="I124" s="60"/>
      <c r="J124" s="60"/>
      <c r="K124" s="60"/>
      <c r="L124" s="60"/>
    </row>
    <row r="125" spans="1:12" s="6" customFormat="1" ht="12.75">
      <c r="A125" s="7" t="s">
        <v>824</v>
      </c>
      <c r="B125" s="21">
        <f>SUM(B126:B127)</f>
        <v>0</v>
      </c>
      <c r="C125" s="22">
        <f>SUM(C126:C127)</f>
        <v>0</v>
      </c>
      <c r="D125" s="22">
        <f>SUM(D126:D127)</f>
        <v>0</v>
      </c>
      <c r="E125" s="22">
        <f t="shared" si="5"/>
        <v>0</v>
      </c>
      <c r="F125" s="17">
        <f>SUM(F126:F127)</f>
        <v>0</v>
      </c>
      <c r="G125" s="17">
        <f t="shared" si="6"/>
        <v>0</v>
      </c>
      <c r="H125" s="21">
        <f>SUM(H126:H127)</f>
        <v>0</v>
      </c>
      <c r="I125" s="60"/>
      <c r="J125" s="60"/>
      <c r="K125" s="60"/>
      <c r="L125" s="60"/>
    </row>
    <row r="126" spans="1:8" s="6" customFormat="1" ht="12.75">
      <c r="A126" s="7" t="s">
        <v>825</v>
      </c>
      <c r="B126" s="21"/>
      <c r="C126" s="22"/>
      <c r="D126" s="22"/>
      <c r="E126" s="22">
        <f t="shared" si="5"/>
        <v>0</v>
      </c>
      <c r="F126" s="17"/>
      <c r="G126" s="17">
        <f t="shared" si="6"/>
        <v>0</v>
      </c>
      <c r="H126" s="21"/>
    </row>
    <row r="127" spans="1:8" s="6" customFormat="1" ht="12.75">
      <c r="A127" s="7" t="s">
        <v>826</v>
      </c>
      <c r="B127" s="21"/>
      <c r="C127" s="22"/>
      <c r="D127" s="22"/>
      <c r="E127" s="22">
        <f t="shared" si="5"/>
        <v>0</v>
      </c>
      <c r="F127" s="17"/>
      <c r="G127" s="17">
        <f t="shared" si="6"/>
        <v>0</v>
      </c>
      <c r="H127" s="21"/>
    </row>
    <row r="128" spans="1:8" s="6" customFormat="1" ht="12.75">
      <c r="A128" s="7" t="s">
        <v>827</v>
      </c>
      <c r="B128" s="21">
        <f>SUM(B129:B130)</f>
        <v>99404000</v>
      </c>
      <c r="C128" s="22">
        <f>SUM(C129:C130)</f>
        <v>104216306.25999999</v>
      </c>
      <c r="D128" s="22">
        <f>SUM(D129:D130)</f>
        <v>44679297.31</v>
      </c>
      <c r="E128" s="22">
        <f t="shared" si="5"/>
        <v>42.871695335789006</v>
      </c>
      <c r="F128" s="17">
        <f>SUM(F129:F130)</f>
        <v>17313668.71</v>
      </c>
      <c r="G128" s="17">
        <f t="shared" si="6"/>
        <v>16.613205103245235</v>
      </c>
      <c r="H128" s="21">
        <f>SUM(H129:H130)</f>
        <v>0</v>
      </c>
    </row>
    <row r="129" spans="1:8" s="6" customFormat="1" ht="12.75">
      <c r="A129" s="7" t="s">
        <v>828</v>
      </c>
      <c r="B129" s="21">
        <v>44143000</v>
      </c>
      <c r="C129" s="22">
        <v>46783306.26</v>
      </c>
      <c r="D129" s="22">
        <v>9054695.31</v>
      </c>
      <c r="E129" s="22">
        <f t="shared" si="5"/>
        <v>19.354543391350298</v>
      </c>
      <c r="F129" s="17">
        <v>9054695.31</v>
      </c>
      <c r="G129" s="17">
        <f t="shared" si="6"/>
        <v>19.354543391350298</v>
      </c>
      <c r="H129" s="21"/>
    </row>
    <row r="130" spans="1:8" s="6" customFormat="1" ht="12.75">
      <c r="A130" s="7" t="s">
        <v>829</v>
      </c>
      <c r="B130" s="21">
        <v>55261000</v>
      </c>
      <c r="C130" s="22">
        <v>57433000</v>
      </c>
      <c r="D130" s="22">
        <v>35624602</v>
      </c>
      <c r="E130" s="22">
        <f t="shared" si="5"/>
        <v>62.028105792836875</v>
      </c>
      <c r="F130" s="17">
        <v>8258973.4</v>
      </c>
      <c r="G130" s="17">
        <f t="shared" si="6"/>
        <v>14.380188045200496</v>
      </c>
      <c r="H130" s="21"/>
    </row>
    <row r="131" spans="1:8" s="6" customFormat="1" ht="12.75">
      <c r="A131" s="7" t="s">
        <v>830</v>
      </c>
      <c r="B131" s="21">
        <f>SUM(B132:B133)</f>
        <v>129962400</v>
      </c>
      <c r="C131" s="22">
        <f>SUM(C132:C133)</f>
        <v>144074400</v>
      </c>
      <c r="D131" s="22">
        <f>SUM(D132:D133)</f>
        <v>44316292.44</v>
      </c>
      <c r="E131" s="22">
        <f t="shared" si="5"/>
        <v>30.7593107727674</v>
      </c>
      <c r="F131" s="17">
        <f>SUM(F132:F133)</f>
        <v>17019247.41</v>
      </c>
      <c r="G131" s="17">
        <f t="shared" si="6"/>
        <v>11.81281852292982</v>
      </c>
      <c r="H131" s="21">
        <f>SUM(H132:H133)</f>
        <v>0</v>
      </c>
    </row>
    <row r="132" spans="1:8" s="6" customFormat="1" ht="12.75">
      <c r="A132" s="7" t="s">
        <v>831</v>
      </c>
      <c r="B132" s="21">
        <v>73717000</v>
      </c>
      <c r="C132" s="22">
        <v>77117000</v>
      </c>
      <c r="D132" s="22">
        <v>13355122.4</v>
      </c>
      <c r="E132" s="22">
        <f t="shared" si="5"/>
        <v>17.31800044088852</v>
      </c>
      <c r="F132" s="17">
        <v>13355122.4</v>
      </c>
      <c r="G132" s="17">
        <f t="shared" si="6"/>
        <v>17.31800044088852</v>
      </c>
      <c r="H132" s="21"/>
    </row>
    <row r="133" spans="1:8" s="6" customFormat="1" ht="12.75">
      <c r="A133" s="7" t="s">
        <v>832</v>
      </c>
      <c r="B133" s="21">
        <v>56245400</v>
      </c>
      <c r="C133" s="22">
        <v>66957400</v>
      </c>
      <c r="D133" s="22">
        <v>30961170.04</v>
      </c>
      <c r="E133" s="22">
        <f t="shared" si="5"/>
        <v>46.24010197528578</v>
      </c>
      <c r="F133" s="17">
        <v>3664125.01</v>
      </c>
      <c r="G133" s="17">
        <f t="shared" si="6"/>
        <v>5.472322715637106</v>
      </c>
      <c r="H133" s="21"/>
    </row>
    <row r="134" spans="1:8" s="6" customFormat="1" ht="12.75">
      <c r="A134" s="7" t="s">
        <v>833</v>
      </c>
      <c r="B134" s="22">
        <v>2108000</v>
      </c>
      <c r="C134" s="22">
        <v>2108000</v>
      </c>
      <c r="D134" s="22">
        <v>1048699.32</v>
      </c>
      <c r="E134" s="22">
        <f t="shared" si="5"/>
        <v>49.74854459203036</v>
      </c>
      <c r="F134" s="17">
        <v>28766.02</v>
      </c>
      <c r="G134" s="17">
        <f t="shared" si="6"/>
        <v>1.364611954459203</v>
      </c>
      <c r="H134" s="21"/>
    </row>
    <row r="135" spans="1:8" s="6" customFormat="1" ht="12.75">
      <c r="A135" s="7" t="s">
        <v>834</v>
      </c>
      <c r="B135" s="22">
        <v>216100</v>
      </c>
      <c r="C135" s="22">
        <v>216100</v>
      </c>
      <c r="D135" s="22">
        <v>19961.02</v>
      </c>
      <c r="E135" s="22">
        <f t="shared" si="5"/>
        <v>9.236936603424342</v>
      </c>
      <c r="F135" s="17">
        <v>19961.02</v>
      </c>
      <c r="G135" s="17">
        <f t="shared" si="6"/>
        <v>9.236936603424342</v>
      </c>
      <c r="H135" s="21"/>
    </row>
    <row r="136" spans="1:8" s="6" customFormat="1" ht="12.75">
      <c r="A136" s="7" t="s">
        <v>835</v>
      </c>
      <c r="B136" s="22">
        <v>8656000</v>
      </c>
      <c r="C136" s="22">
        <v>8656000</v>
      </c>
      <c r="D136" s="22">
        <v>2847813.46</v>
      </c>
      <c r="E136" s="22">
        <f t="shared" si="5"/>
        <v>32.89987823475046</v>
      </c>
      <c r="F136" s="17">
        <v>1586732.54</v>
      </c>
      <c r="G136" s="17">
        <f t="shared" si="6"/>
        <v>18.331013632162662</v>
      </c>
      <c r="H136" s="21"/>
    </row>
    <row r="137" spans="1:8" s="6" customFormat="1" ht="12.75">
      <c r="A137" s="79" t="s">
        <v>836</v>
      </c>
      <c r="B137" s="22">
        <v>2050000</v>
      </c>
      <c r="C137" s="22">
        <v>2050000</v>
      </c>
      <c r="D137" s="22">
        <v>1122000</v>
      </c>
      <c r="E137" s="22">
        <f t="shared" si="5"/>
        <v>54.73170731707317</v>
      </c>
      <c r="F137" s="80">
        <v>0</v>
      </c>
      <c r="G137" s="80">
        <f t="shared" si="6"/>
        <v>0</v>
      </c>
      <c r="H137" s="77"/>
    </row>
    <row r="138" spans="1:8" s="6" customFormat="1" ht="12.75">
      <c r="A138" s="79" t="s">
        <v>837</v>
      </c>
      <c r="B138" s="81">
        <f>B124+B131+B134+B135+B136+B137</f>
        <v>242396500</v>
      </c>
      <c r="C138" s="81">
        <f>C124+C131+C134+C135+C136+C137</f>
        <v>261320806.26</v>
      </c>
      <c r="D138" s="81">
        <f>D124+D131+D134+D135+D136+D137</f>
        <v>94034063.54999998</v>
      </c>
      <c r="E138" s="81">
        <f t="shared" si="5"/>
        <v>35.984147185142696</v>
      </c>
      <c r="F138" s="82">
        <f>F124+F131+F134+F135+F136+F137</f>
        <v>35968375.70000001</v>
      </c>
      <c r="G138" s="29">
        <f t="shared" si="6"/>
        <v>13.764068852678127</v>
      </c>
      <c r="H138" s="81">
        <f>H124+H131+H134+H135+H136+H137</f>
        <v>0</v>
      </c>
    </row>
    <row r="139" spans="1:8" s="6" customFormat="1" ht="12.75">
      <c r="A139" s="83"/>
      <c r="B139" s="41"/>
      <c r="C139" s="41"/>
      <c r="D139" s="41"/>
      <c r="E139" s="41"/>
      <c r="F139" s="41"/>
      <c r="G139" s="60"/>
      <c r="H139" s="60"/>
    </row>
    <row r="140" spans="1:2" s="6" customFormat="1" ht="12.75">
      <c r="A140" s="575" t="s">
        <v>317</v>
      </c>
      <c r="B140" s="588" t="s">
        <v>157</v>
      </c>
    </row>
    <row r="141" spans="1:2" s="6" customFormat="1" ht="12.75">
      <c r="A141" s="61" t="s">
        <v>838</v>
      </c>
      <c r="B141" s="21">
        <f>D79</f>
        <v>4787636.400000002</v>
      </c>
    </row>
    <row r="142" spans="1:2" s="6" customFormat="1" ht="12.75">
      <c r="A142" s="61" t="s">
        <v>839</v>
      </c>
      <c r="B142" s="21"/>
    </row>
    <row r="143" spans="1:2" s="6" customFormat="1" ht="12.75" customHeight="1">
      <c r="A143" s="84" t="s">
        <v>862</v>
      </c>
      <c r="B143" s="21"/>
    </row>
    <row r="144" spans="1:2" s="6" customFormat="1" ht="25.5">
      <c r="A144" s="84" t="s">
        <v>863</v>
      </c>
      <c r="B144" s="21"/>
    </row>
    <row r="145" spans="1:2" s="6" customFormat="1" ht="25.5">
      <c r="A145" s="75" t="s">
        <v>864</v>
      </c>
      <c r="B145" s="21"/>
    </row>
    <row r="146" spans="1:2" s="6" customFormat="1" ht="25.5">
      <c r="A146" s="85" t="s">
        <v>1047</v>
      </c>
      <c r="B146" s="77">
        <f>C166</f>
        <v>1076959.16</v>
      </c>
    </row>
    <row r="147" spans="1:5" s="6" customFormat="1" ht="12.75">
      <c r="A147" s="61" t="s">
        <v>865</v>
      </c>
      <c r="B147" s="29">
        <f>SUM(B141:B146)</f>
        <v>5864595.560000002</v>
      </c>
      <c r="C147" s="60"/>
      <c r="D147" s="60"/>
      <c r="E147" s="60"/>
    </row>
    <row r="148" spans="1:5" s="6" customFormat="1" ht="12.75">
      <c r="A148" s="15"/>
      <c r="B148" s="86"/>
      <c r="C148" s="60"/>
      <c r="D148" s="60"/>
      <c r="E148" s="60"/>
    </row>
    <row r="149" spans="1:5" s="6" customFormat="1" ht="12.75">
      <c r="A149" s="64" t="s">
        <v>886</v>
      </c>
      <c r="B149" s="87">
        <f>F124+H124+F131+H131-B147</f>
        <v>28468320.560000002</v>
      </c>
      <c r="C149" s="60"/>
      <c r="D149" s="60"/>
      <c r="E149" s="60"/>
    </row>
    <row r="150" spans="1:5" s="6" customFormat="1" ht="12.75">
      <c r="A150" s="64"/>
      <c r="B150" s="87"/>
      <c r="C150" s="60"/>
      <c r="D150" s="60"/>
      <c r="E150" s="60"/>
    </row>
    <row r="151" spans="1:5" s="91" customFormat="1" ht="25.5">
      <c r="A151" s="88" t="s">
        <v>887</v>
      </c>
      <c r="B151" s="28">
        <f>IF(D44&gt;0,B149/D44*100,0)</f>
        <v>19.451837269919352</v>
      </c>
      <c r="C151" s="89"/>
      <c r="D151" s="89"/>
      <c r="E151" s="90"/>
    </row>
    <row r="152" spans="1:5" s="91" customFormat="1" ht="16.5" customHeight="1">
      <c r="A152" s="92"/>
      <c r="B152" s="93"/>
      <c r="C152" s="89"/>
      <c r="D152" s="89"/>
      <c r="E152" s="90"/>
    </row>
    <row r="153" spans="1:12" s="6" customFormat="1" ht="12.75">
      <c r="A153" s="832" t="s">
        <v>318</v>
      </c>
      <c r="B153" s="833"/>
      <c r="C153" s="833"/>
      <c r="D153" s="833"/>
      <c r="E153" s="833"/>
      <c r="F153" s="833"/>
      <c r="G153" s="833"/>
      <c r="H153" s="834"/>
      <c r="I153" s="42"/>
      <c r="J153" s="42"/>
      <c r="K153" s="42"/>
      <c r="L153" s="60"/>
    </row>
    <row r="154" spans="1:12" s="6" customFormat="1" ht="44.25" customHeight="1">
      <c r="A154" s="527" t="s">
        <v>494</v>
      </c>
      <c r="B154" s="610" t="s">
        <v>103</v>
      </c>
      <c r="C154" s="610" t="s">
        <v>103</v>
      </c>
      <c r="D154" s="835" t="s">
        <v>104</v>
      </c>
      <c r="E154" s="829"/>
      <c r="F154" s="835" t="s">
        <v>105</v>
      </c>
      <c r="G154" s="829"/>
      <c r="H154" s="624" t="s">
        <v>1083</v>
      </c>
      <c r="I154" s="308"/>
      <c r="J154" s="309"/>
      <c r="K154" s="310"/>
      <c r="L154" s="60"/>
    </row>
    <row r="155" spans="1:12" s="6" customFormat="1" ht="12.75">
      <c r="A155" s="571"/>
      <c r="B155" s="595" t="s">
        <v>74</v>
      </c>
      <c r="C155" s="595" t="s">
        <v>75</v>
      </c>
      <c r="D155" s="610" t="str">
        <f>CONCATENATE("Até o  ",B13)</f>
        <v>Até o  Bimestre</v>
      </c>
      <c r="E155" s="611" t="s">
        <v>77</v>
      </c>
      <c r="F155" s="610" t="str">
        <f>CONCATENATE("Até o  ",B13)</f>
        <v>Até o  Bimestre</v>
      </c>
      <c r="G155" s="611" t="s">
        <v>77</v>
      </c>
      <c r="H155" s="612"/>
      <c r="I155" s="310"/>
      <c r="J155" s="310"/>
      <c r="K155" s="60"/>
      <c r="L155" s="60"/>
    </row>
    <row r="156" spans="1:12" s="6" customFormat="1" ht="12.75">
      <c r="A156" s="572"/>
      <c r="B156" s="597"/>
      <c r="C156" s="613" t="s">
        <v>108</v>
      </c>
      <c r="D156" s="613" t="s">
        <v>109</v>
      </c>
      <c r="E156" s="614" t="s">
        <v>138</v>
      </c>
      <c r="F156" s="613" t="s">
        <v>110</v>
      </c>
      <c r="G156" s="614" t="s">
        <v>484</v>
      </c>
      <c r="H156" s="615" t="s">
        <v>328</v>
      </c>
      <c r="I156" s="310"/>
      <c r="J156" s="310"/>
      <c r="K156" s="310"/>
      <c r="L156" s="60"/>
    </row>
    <row r="157" spans="1:12" s="6" customFormat="1" ht="25.5">
      <c r="A157" s="23" t="s">
        <v>866</v>
      </c>
      <c r="B157" s="21"/>
      <c r="C157" s="21"/>
      <c r="D157" s="21"/>
      <c r="E157" s="21">
        <f aca="true" t="shared" si="7" ref="E157:E162">IF(C157&gt;0,D157/C157*100,0)</f>
        <v>0</v>
      </c>
      <c r="F157" s="20"/>
      <c r="G157" s="78">
        <f aca="true" t="shared" si="8" ref="G157:G162">IF(C157&gt;0,F157/C157*100,0)</f>
        <v>0</v>
      </c>
      <c r="H157" s="18"/>
      <c r="I157" s="60"/>
      <c r="J157" s="60"/>
      <c r="K157" s="60"/>
      <c r="L157" s="60"/>
    </row>
    <row r="158" spans="1:8" s="6" customFormat="1" ht="14.25" customHeight="1">
      <c r="A158" s="23" t="s">
        <v>867</v>
      </c>
      <c r="B158" s="22">
        <v>16860000</v>
      </c>
      <c r="C158" s="21">
        <v>16860000</v>
      </c>
      <c r="D158" s="21">
        <v>4332000</v>
      </c>
      <c r="E158" s="21">
        <f t="shared" si="7"/>
        <v>25.693950177935942</v>
      </c>
      <c r="F158" s="17">
        <v>0</v>
      </c>
      <c r="G158" s="17">
        <f t="shared" si="8"/>
        <v>0</v>
      </c>
      <c r="H158" s="21"/>
    </row>
    <row r="159" spans="1:8" s="6" customFormat="1" ht="12.75">
      <c r="A159" s="84" t="s">
        <v>868</v>
      </c>
      <c r="B159" s="17"/>
      <c r="C159" s="17"/>
      <c r="D159" s="17"/>
      <c r="E159" s="17">
        <f t="shared" si="7"/>
        <v>0</v>
      </c>
      <c r="F159" s="17"/>
      <c r="G159" s="17">
        <f t="shared" si="8"/>
        <v>0</v>
      </c>
      <c r="H159" s="21"/>
    </row>
    <row r="160" spans="1:8" s="6" customFormat="1" ht="12.75" customHeight="1">
      <c r="A160" s="94" t="s">
        <v>869</v>
      </c>
      <c r="B160" s="22">
        <v>16531600</v>
      </c>
      <c r="C160" s="21">
        <v>17681600</v>
      </c>
      <c r="D160" s="21">
        <v>3630915.2</v>
      </c>
      <c r="E160" s="21">
        <f t="shared" si="7"/>
        <v>20.534992308388382</v>
      </c>
      <c r="F160" s="17">
        <v>247823.17</v>
      </c>
      <c r="G160" s="80">
        <f t="shared" si="8"/>
        <v>1.4015879219075198</v>
      </c>
      <c r="H160" s="77"/>
    </row>
    <row r="161" spans="1:8" s="6" customFormat="1" ht="25.5" customHeight="1">
      <c r="A161" s="94" t="s">
        <v>888</v>
      </c>
      <c r="B161" s="29">
        <f>SUM(B157:B160)</f>
        <v>33391600</v>
      </c>
      <c r="C161" s="29">
        <f>SUM(C157:C160)</f>
        <v>34541600</v>
      </c>
      <c r="D161" s="29">
        <f>SUM(D157:D160)</f>
        <v>7962915.2</v>
      </c>
      <c r="E161" s="29">
        <f t="shared" si="7"/>
        <v>23.053116242443895</v>
      </c>
      <c r="F161" s="29">
        <f>SUM(F157:F160)</f>
        <v>247823.17</v>
      </c>
      <c r="G161" s="80">
        <f t="shared" si="8"/>
        <v>0.7174629142830674</v>
      </c>
      <c r="H161" s="77">
        <f>SUM(H157:H160)</f>
        <v>0</v>
      </c>
    </row>
    <row r="162" spans="1:8" s="6" customFormat="1" ht="12.75">
      <c r="A162" s="94" t="s">
        <v>889</v>
      </c>
      <c r="B162" s="81">
        <f>B138+B161</f>
        <v>275788100</v>
      </c>
      <c r="C162" s="29">
        <f>C138+C161</f>
        <v>295862406.26</v>
      </c>
      <c r="D162" s="29">
        <f>D138+D161</f>
        <v>101996978.74999999</v>
      </c>
      <c r="E162" s="29">
        <f t="shared" si="7"/>
        <v>34.47446400485447</v>
      </c>
      <c r="F162" s="80">
        <f>F138+F161</f>
        <v>36216198.87000001</v>
      </c>
      <c r="G162" s="80">
        <f t="shared" si="8"/>
        <v>12.2408924228696</v>
      </c>
      <c r="H162" s="77">
        <f>H138+H161</f>
        <v>0</v>
      </c>
    </row>
    <row r="163" spans="1:8" s="6" customFormat="1" ht="12.75">
      <c r="A163" s="95"/>
      <c r="B163" s="57"/>
      <c r="C163" s="57"/>
      <c r="D163" s="57"/>
      <c r="E163" s="57"/>
      <c r="F163" s="57"/>
      <c r="G163" s="57"/>
      <c r="H163" s="57"/>
    </row>
    <row r="164" spans="1:3" s="6" customFormat="1" ht="37.5" customHeight="1">
      <c r="A164" s="586" t="s">
        <v>139</v>
      </c>
      <c r="B164" s="527" t="str">
        <f>CONCATENATE("SALDO ATÉ O  ",UPPER(B13))</f>
        <v>SALDO ATÉ O  BIMESTRE</v>
      </c>
      <c r="C164" s="527" t="s">
        <v>637</v>
      </c>
    </row>
    <row r="165" spans="1:3" s="6" customFormat="1" ht="12.75">
      <c r="A165" s="96" t="s">
        <v>870</v>
      </c>
      <c r="B165" s="18"/>
      <c r="C165" s="18"/>
    </row>
    <row r="166" spans="1:3" s="6" customFormat="1" ht="12.75">
      <c r="A166" s="97" t="s">
        <v>871</v>
      </c>
      <c r="B166" s="21">
        <v>54491614.37</v>
      </c>
      <c r="C166" s="21">
        <v>1076959.16</v>
      </c>
    </row>
    <row r="167" spans="1:3" s="6" customFormat="1" ht="12.75">
      <c r="A167" s="98" t="s">
        <v>872</v>
      </c>
      <c r="B167" s="77">
        <v>10798407.44</v>
      </c>
      <c r="C167" s="77">
        <v>0</v>
      </c>
    </row>
    <row r="168" spans="1:3" s="6" customFormat="1" ht="12.75">
      <c r="A168" s="90"/>
      <c r="B168" s="90"/>
      <c r="C168" s="99"/>
    </row>
    <row r="169" spans="1:3" s="6" customFormat="1" ht="12.75">
      <c r="A169" s="90"/>
      <c r="B169" s="90"/>
      <c r="C169" s="99"/>
    </row>
    <row r="170" spans="1:3" s="6" customFormat="1" ht="12.75">
      <c r="A170" s="836" t="s">
        <v>481</v>
      </c>
      <c r="B170" s="836" t="s">
        <v>135</v>
      </c>
      <c r="C170" s="609" t="s">
        <v>840</v>
      </c>
    </row>
    <row r="171" spans="1:3" s="6" customFormat="1" ht="12.75">
      <c r="A171" s="808"/>
      <c r="B171" s="808"/>
      <c r="C171" s="587" t="s">
        <v>841</v>
      </c>
    </row>
    <row r="172" spans="1:3" s="6" customFormat="1" ht="12.75">
      <c r="A172" s="100" t="s">
        <v>873</v>
      </c>
      <c r="B172" s="78">
        <v>6040306.26</v>
      </c>
      <c r="C172" s="18">
        <v>14521686.67</v>
      </c>
    </row>
    <row r="173" spans="1:3" s="6" customFormat="1" ht="12.75">
      <c r="A173" s="101" t="s">
        <v>874</v>
      </c>
      <c r="B173" s="17">
        <f>D76+D77</f>
        <v>25113821.73</v>
      </c>
      <c r="C173" s="21">
        <f>D51</f>
        <v>4058727.12</v>
      </c>
    </row>
    <row r="174" spans="1:3" s="6" customFormat="1" ht="12.75">
      <c r="A174" s="101" t="s">
        <v>875</v>
      </c>
      <c r="B174" s="17">
        <f>SUM(B175:B176)</f>
        <v>11611410.27</v>
      </c>
      <c r="C174" s="21">
        <f>SUM(C175:C176)</f>
        <v>4421.28</v>
      </c>
    </row>
    <row r="175" spans="1:3" s="6" customFormat="1" ht="12.75">
      <c r="A175" s="101" t="s">
        <v>876</v>
      </c>
      <c r="B175" s="17">
        <v>11611410.27</v>
      </c>
      <c r="C175" s="21">
        <v>0</v>
      </c>
    </row>
    <row r="176" spans="1:3" s="6" customFormat="1" ht="12.75">
      <c r="A176" s="101" t="s">
        <v>877</v>
      </c>
      <c r="B176" s="17">
        <v>0</v>
      </c>
      <c r="C176" s="21">
        <v>4421.28</v>
      </c>
    </row>
    <row r="177" spans="1:3" s="6" customFormat="1" ht="12.75">
      <c r="A177" s="101" t="s">
        <v>878</v>
      </c>
      <c r="B177" s="17">
        <v>23628.1</v>
      </c>
      <c r="C177" s="21">
        <v>32804.31</v>
      </c>
    </row>
    <row r="178" spans="1:3" s="6" customFormat="1" ht="12.75">
      <c r="A178" s="7" t="s">
        <v>879</v>
      </c>
      <c r="B178" s="17">
        <f>B172+B173-B174+B177</f>
        <v>19566345.820000004</v>
      </c>
      <c r="C178" s="21">
        <f>C172+C173-C174+C177</f>
        <v>18608796.819999997</v>
      </c>
    </row>
    <row r="179" spans="1:3" s="6" customFormat="1" ht="12.75">
      <c r="A179" s="7" t="s">
        <v>880</v>
      </c>
      <c r="B179" s="17">
        <f>B180-B181+B182+B183</f>
        <v>0</v>
      </c>
      <c r="C179" s="21">
        <f>C180-C181+C182+C183</f>
        <v>0</v>
      </c>
    </row>
    <row r="180" spans="1:3" s="6" customFormat="1" ht="12.75">
      <c r="A180" s="83" t="s">
        <v>881</v>
      </c>
      <c r="B180" s="17"/>
      <c r="C180" s="21"/>
    </row>
    <row r="181" spans="1:3" s="6" customFormat="1" ht="12.75">
      <c r="A181" s="83" t="s">
        <v>882</v>
      </c>
      <c r="B181" s="17"/>
      <c r="C181" s="21"/>
    </row>
    <row r="182" spans="1:3" s="6" customFormat="1" ht="12.75">
      <c r="A182" s="83" t="s">
        <v>883</v>
      </c>
      <c r="B182" s="17"/>
      <c r="C182" s="21"/>
    </row>
    <row r="183" spans="1:3" s="6" customFormat="1" ht="12.75">
      <c r="A183" s="83" t="s">
        <v>884</v>
      </c>
      <c r="B183" s="17"/>
      <c r="C183" s="21"/>
    </row>
    <row r="184" spans="1:3" s="6" customFormat="1" ht="12.75">
      <c r="A184" s="102" t="s">
        <v>885</v>
      </c>
      <c r="B184" s="80">
        <f>B178+B179</f>
        <v>19566345.820000004</v>
      </c>
      <c r="C184" s="77">
        <f>C178+C179</f>
        <v>18608796.819999997</v>
      </c>
    </row>
    <row r="185" spans="1:8" s="6" customFormat="1" ht="12.75">
      <c r="A185" s="506" t="s">
        <v>1067</v>
      </c>
      <c r="B185" s="60"/>
      <c r="C185" s="60"/>
      <c r="D185" s="60"/>
      <c r="E185" s="60"/>
      <c r="F185" s="60"/>
      <c r="G185" s="60"/>
      <c r="H185" s="60"/>
    </row>
    <row r="186" spans="1:6" s="6" customFormat="1" ht="12.75" customHeight="1">
      <c r="A186" s="496" t="s">
        <v>493</v>
      </c>
      <c r="B186" s="60"/>
      <c r="C186" s="60"/>
      <c r="D186" s="60"/>
      <c r="E186" s="60"/>
      <c r="F186" s="60"/>
    </row>
    <row r="187" spans="1:8" s="6" customFormat="1" ht="12.75">
      <c r="A187" s="842" t="s">
        <v>492</v>
      </c>
      <c r="B187" s="842"/>
      <c r="C187" s="842"/>
      <c r="D187" s="842"/>
      <c r="E187" s="842"/>
      <c r="F187" s="842"/>
      <c r="G187" s="842"/>
      <c r="H187" s="842"/>
    </row>
    <row r="188" spans="1:8" s="6" customFormat="1" ht="12.75" customHeight="1">
      <c r="A188" s="842"/>
      <c r="B188" s="842"/>
      <c r="C188" s="842"/>
      <c r="D188" s="842"/>
      <c r="E188" s="842"/>
      <c r="F188" s="842"/>
      <c r="G188" s="842"/>
      <c r="H188" s="842"/>
    </row>
    <row r="189" spans="1:8" s="6" customFormat="1" ht="12.75" customHeight="1">
      <c r="A189" s="496" t="s">
        <v>491</v>
      </c>
      <c r="B189" s="314"/>
      <c r="C189" s="314"/>
      <c r="D189" s="314"/>
      <c r="E189" s="314"/>
      <c r="F189" s="314"/>
      <c r="G189" s="312"/>
      <c r="H189" s="312"/>
    </row>
    <row r="190" spans="1:6" s="6" customFormat="1" ht="12.75" customHeight="1">
      <c r="A190" s="496" t="s">
        <v>490</v>
      </c>
      <c r="B190" s="313"/>
      <c r="C190" s="313"/>
      <c r="D190" s="313"/>
      <c r="E190" s="313"/>
      <c r="F190" s="313"/>
    </row>
    <row r="191" spans="1:8" ht="15" customHeight="1">
      <c r="A191" s="496" t="s">
        <v>612</v>
      </c>
      <c r="B191" s="212"/>
      <c r="C191" s="212"/>
      <c r="D191" s="212"/>
      <c r="E191" s="212"/>
      <c r="F191" s="212"/>
      <c r="G191" s="212"/>
      <c r="H191" s="212"/>
    </row>
    <row r="192" spans="1:3" ht="16.5" customHeight="1">
      <c r="A192" s="496" t="s">
        <v>613</v>
      </c>
      <c r="B192" s="315"/>
      <c r="C192" s="315"/>
    </row>
    <row r="199" spans="1:7" ht="11.25" customHeight="1">
      <c r="A199" s="598" t="s">
        <v>1055</v>
      </c>
      <c r="B199" s="599"/>
      <c r="C199" s="599"/>
      <c r="D199" s="839" t="s">
        <v>1057</v>
      </c>
      <c r="E199" s="839"/>
      <c r="F199" s="839"/>
      <c r="G199" s="600"/>
    </row>
    <row r="200" spans="1:7" ht="11.25" customHeight="1">
      <c r="A200" s="601" t="s">
        <v>1056</v>
      </c>
      <c r="B200" s="599"/>
      <c r="C200" s="599"/>
      <c r="D200" s="839" t="s">
        <v>1058</v>
      </c>
      <c r="E200" s="839"/>
      <c r="F200" s="839"/>
      <c r="G200" s="600"/>
    </row>
    <row r="201" spans="1:7" ht="11.25" customHeight="1">
      <c r="A201" s="602"/>
      <c r="B201" s="603"/>
      <c r="C201" s="604"/>
      <c r="D201" s="840" t="s">
        <v>1080</v>
      </c>
      <c r="E201" s="840"/>
      <c r="F201" s="840"/>
      <c r="G201" s="600"/>
    </row>
    <row r="202" spans="1:7" ht="11.25" customHeight="1">
      <c r="A202" s="600"/>
      <c r="B202" s="605"/>
      <c r="C202" s="605"/>
      <c r="D202" s="605"/>
      <c r="E202" s="600"/>
      <c r="F202" s="606"/>
      <c r="G202" s="600"/>
    </row>
    <row r="203" spans="1:7" ht="11.25" customHeight="1">
      <c r="A203" s="600"/>
      <c r="B203" s="605"/>
      <c r="C203" s="605"/>
      <c r="D203" s="605"/>
      <c r="E203" s="600"/>
      <c r="F203" s="606"/>
      <c r="G203" s="600"/>
    </row>
    <row r="204" spans="1:7" ht="11.25" customHeight="1">
      <c r="A204" s="600"/>
      <c r="B204" s="607"/>
      <c r="C204" s="600"/>
      <c r="D204" s="600"/>
      <c r="E204" s="600"/>
      <c r="F204" s="600"/>
      <c r="G204" s="600"/>
    </row>
    <row r="205" spans="1:7" ht="11.25" customHeight="1">
      <c r="A205" s="600"/>
      <c r="B205" s="600"/>
      <c r="C205" s="600"/>
      <c r="D205" s="600"/>
      <c r="E205" s="600"/>
      <c r="F205" s="600"/>
      <c r="G205" s="600"/>
    </row>
    <row r="206" spans="1:7" ht="11.25" customHeight="1">
      <c r="A206" s="602" t="s">
        <v>1081</v>
      </c>
      <c r="B206" s="603"/>
      <c r="C206" s="603"/>
      <c r="D206" s="840" t="s">
        <v>1059</v>
      </c>
      <c r="E206" s="840"/>
      <c r="F206" s="840"/>
      <c r="G206" s="600"/>
    </row>
    <row r="207" spans="1:7" ht="11.25" customHeight="1">
      <c r="A207" s="601" t="s">
        <v>1082</v>
      </c>
      <c r="B207" s="603"/>
      <c r="C207" s="603"/>
      <c r="D207" s="601" t="s">
        <v>1060</v>
      </c>
      <c r="E207" s="601"/>
      <c r="F207" s="601"/>
      <c r="G207" s="600"/>
    </row>
    <row r="208" spans="1:7" ht="11.25" customHeight="1">
      <c r="A208" s="603"/>
      <c r="B208" s="603"/>
      <c r="C208" s="603"/>
      <c r="D208" s="841" t="s">
        <v>1074</v>
      </c>
      <c r="E208" s="841"/>
      <c r="F208" s="841"/>
      <c r="G208" s="600"/>
    </row>
    <row r="209" spans="1:7" ht="11.25" customHeight="1">
      <c r="A209" s="608"/>
      <c r="B209" s="608"/>
      <c r="C209" s="608"/>
      <c r="D209" s="608"/>
      <c r="E209" s="608"/>
      <c r="F209" s="608"/>
      <c r="G209" s="608"/>
    </row>
    <row r="210" spans="1:7" ht="11.25" customHeight="1">
      <c r="A210" s="608"/>
      <c r="B210" s="608"/>
      <c r="C210" s="608"/>
      <c r="D210" s="608"/>
      <c r="E210" s="608"/>
      <c r="F210" s="608"/>
      <c r="G210" s="608"/>
    </row>
  </sheetData>
  <sheetProtection/>
  <mergeCells count="25">
    <mergeCell ref="D201:F201"/>
    <mergeCell ref="D206:F206"/>
    <mergeCell ref="D208:F208"/>
    <mergeCell ref="A187:H188"/>
    <mergeCell ref="A170:A171"/>
    <mergeCell ref="B170:B171"/>
    <mergeCell ref="A121:A123"/>
    <mergeCell ref="D121:E121"/>
    <mergeCell ref="D199:F199"/>
    <mergeCell ref="D200:F200"/>
    <mergeCell ref="D46:E46"/>
    <mergeCell ref="D154:E154"/>
    <mergeCell ref="F154:G154"/>
    <mergeCell ref="F121:G121"/>
    <mergeCell ref="A64:E64"/>
    <mergeCell ref="D19:E19"/>
    <mergeCell ref="D65:E65"/>
    <mergeCell ref="A11:F11"/>
    <mergeCell ref="A14:F14"/>
    <mergeCell ref="A15:F15"/>
    <mergeCell ref="A153:H153"/>
    <mergeCell ref="A18:E18"/>
    <mergeCell ref="D83:E83"/>
    <mergeCell ref="F83:G83"/>
    <mergeCell ref="A83:A85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4"/>
  <sheetViews>
    <sheetView showGridLines="0" zoomScalePageLayoutView="0" workbookViewId="0" topLeftCell="A1">
      <selection activeCell="A1" sqref="A1"/>
    </sheetView>
  </sheetViews>
  <sheetFormatPr defaultColWidth="6.7109375" defaultRowHeight="11.25" customHeight="1"/>
  <cols>
    <col min="1" max="1" width="52.00390625" style="6" customWidth="1"/>
    <col min="2" max="2" width="22.57421875" style="6" bestFit="1" customWidth="1"/>
    <col min="3" max="3" width="22.00390625" style="6" bestFit="1" customWidth="1"/>
    <col min="4" max="4" width="23.00390625" style="6" bestFit="1" customWidth="1"/>
    <col min="5" max="5" width="21.7109375" style="6" bestFit="1" customWidth="1"/>
    <col min="6" max="16384" width="6.7109375" style="6" customWidth="1"/>
  </cols>
  <sheetData>
    <row r="1" ht="12.75"/>
    <row r="2" ht="25.5" customHeight="1">
      <c r="A2" s="507" t="s">
        <v>1050</v>
      </c>
    </row>
    <row r="3" ht="15.75" customHeight="1">
      <c r="A3" s="302" t="s">
        <v>1051</v>
      </c>
    </row>
    <row r="4" ht="15.75" customHeight="1">
      <c r="A4" s="302" t="s">
        <v>1052</v>
      </c>
    </row>
    <row r="5" ht="15.75" customHeight="1">
      <c r="A5" s="302" t="s">
        <v>1053</v>
      </c>
    </row>
    <row r="6" spans="1:5" ht="15.75">
      <c r="A6" s="316" t="s">
        <v>338</v>
      </c>
      <c r="B6" s="316"/>
      <c r="C6" s="316"/>
      <c r="D6" s="316"/>
      <c r="E6" s="316"/>
    </row>
    <row r="7" spans="1:5" ht="12.75">
      <c r="A7" s="317"/>
      <c r="B7" s="317"/>
      <c r="C7" s="317"/>
      <c r="D7" s="317"/>
      <c r="E7" s="317"/>
    </row>
    <row r="8" spans="1:5" s="319" customFormat="1" ht="15.75" customHeight="1">
      <c r="A8" s="508" t="s">
        <v>1050</v>
      </c>
      <c r="B8" s="318"/>
      <c r="C8" s="318"/>
      <c r="D8" s="318"/>
      <c r="E8" s="318"/>
    </row>
    <row r="9" spans="1:5" ht="12.75">
      <c r="A9" s="318" t="s">
        <v>68</v>
      </c>
      <c r="B9" s="318"/>
      <c r="C9" s="318"/>
      <c r="D9" s="318"/>
      <c r="E9" s="318"/>
    </row>
    <row r="10" spans="1:5" ht="25.5">
      <c r="A10" s="321" t="s">
        <v>193</v>
      </c>
      <c r="B10" s="321"/>
      <c r="C10" s="321"/>
      <c r="D10" s="321"/>
      <c r="E10" s="321"/>
    </row>
    <row r="11" spans="1:5" ht="12.75">
      <c r="A11" s="845" t="s">
        <v>70</v>
      </c>
      <c r="B11" s="845"/>
      <c r="C11" s="845"/>
      <c r="D11" s="845"/>
      <c r="E11" s="845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5" ht="12.75" customHeight="1">
      <c r="A13" s="509" t="s">
        <v>1054</v>
      </c>
      <c r="B13" s="323" t="str">
        <f>IF(_xlfn.IFERROR(SEARCH("SEMESTRE",A13,1),0)&gt;0,"Semestre",IF(_xlfn.IFERROR(SEARCH("QUADRIMESTRE",A13,1),0)&gt;0,"Quadrimestre",IF(_xlfn.IFERROR(SEARCH("TRIMESTRE",A13,1),0)&gt;0,"Trimestre",IF(_xlfn.IFERROR(SEARCH("BIMESTRE",A13,1),0)&gt;0,"Bimestre","Mês"))))</f>
        <v>Bimestre</v>
      </c>
      <c r="C13" s="322"/>
      <c r="D13" s="322"/>
      <c r="E13" s="322"/>
    </row>
    <row r="14" spans="1:5" ht="12.75" hidden="1">
      <c r="A14" s="845"/>
      <c r="B14" s="845"/>
      <c r="C14" s="845"/>
      <c r="D14" s="845"/>
      <c r="E14" s="845"/>
    </row>
    <row r="15" spans="1:5" ht="12.75" hidden="1">
      <c r="A15" s="845"/>
      <c r="B15" s="845"/>
      <c r="C15" s="845"/>
      <c r="D15" s="845"/>
      <c r="E15" s="845"/>
    </row>
    <row r="16" spans="1:5" ht="12.75">
      <c r="A16" s="324"/>
      <c r="B16" s="847"/>
      <c r="C16" s="847"/>
      <c r="D16" s="324"/>
      <c r="E16" s="324"/>
    </row>
    <row r="17" spans="1:5" ht="12.75">
      <c r="A17" s="83" t="s">
        <v>339</v>
      </c>
      <c r="B17" s="317"/>
      <c r="C17" s="317"/>
      <c r="D17" s="317" t="s">
        <v>360</v>
      </c>
      <c r="E17" s="320"/>
    </row>
    <row r="18" spans="1:5" ht="14.25" customHeight="1">
      <c r="A18" s="848" t="s">
        <v>73</v>
      </c>
      <c r="B18" s="634" t="s">
        <v>197</v>
      </c>
      <c r="C18" s="635" t="s">
        <v>72</v>
      </c>
      <c r="D18" s="636" t="s">
        <v>582</v>
      </c>
      <c r="E18" s="846"/>
    </row>
    <row r="19" spans="1:5" s="60" customFormat="1" ht="12.75" customHeight="1">
      <c r="A19" s="848"/>
      <c r="B19" s="637" t="s">
        <v>79</v>
      </c>
      <c r="C19" s="633" t="s">
        <v>80</v>
      </c>
      <c r="D19" s="638" t="s">
        <v>319</v>
      </c>
      <c r="E19" s="846"/>
    </row>
    <row r="20" spans="1:5" ht="12.75">
      <c r="A20" s="325" t="s">
        <v>583</v>
      </c>
      <c r="B20" s="326"/>
      <c r="C20" s="327"/>
      <c r="D20" s="328">
        <f>B20-C20</f>
        <v>0</v>
      </c>
      <c r="E20" s="60"/>
    </row>
    <row r="21" spans="1:5" ht="12.75">
      <c r="A21" s="317"/>
      <c r="B21" s="317"/>
      <c r="C21" s="317"/>
      <c r="D21" s="317"/>
      <c r="E21" s="317"/>
    </row>
    <row r="22" spans="1:4" ht="12.75" customHeight="1">
      <c r="A22" s="627"/>
      <c r="B22" s="628" t="s">
        <v>471</v>
      </c>
      <c r="C22" s="628" t="s">
        <v>472</v>
      </c>
      <c r="D22" s="628" t="s">
        <v>340</v>
      </c>
    </row>
    <row r="23" spans="1:4" ht="12.75">
      <c r="A23" s="629" t="s">
        <v>106</v>
      </c>
      <c r="B23" s="630" t="s">
        <v>75</v>
      </c>
      <c r="C23" s="630" t="s">
        <v>473</v>
      </c>
      <c r="D23" s="630"/>
    </row>
    <row r="24" spans="1:4" ht="12.75">
      <c r="A24" s="631"/>
      <c r="B24" s="632" t="s">
        <v>108</v>
      </c>
      <c r="C24" s="633" t="s">
        <v>109</v>
      </c>
      <c r="D24" s="632" t="s">
        <v>474</v>
      </c>
    </row>
    <row r="25" spans="1:4" ht="12.75">
      <c r="A25" s="325" t="s">
        <v>112</v>
      </c>
      <c r="B25" s="329">
        <f>B26+B27+B28</f>
        <v>0</v>
      </c>
      <c r="C25" s="330">
        <f>C26+C27+C28</f>
        <v>0</v>
      </c>
      <c r="D25" s="329">
        <f aca="true" t="shared" si="0" ref="D25:D30">B25-C25</f>
        <v>0</v>
      </c>
    </row>
    <row r="26" spans="1:4" ht="12.75">
      <c r="A26" s="325" t="s">
        <v>199</v>
      </c>
      <c r="B26" s="329">
        <v>0</v>
      </c>
      <c r="C26" s="330">
        <v>0</v>
      </c>
      <c r="D26" s="329">
        <f t="shared" si="0"/>
        <v>0</v>
      </c>
    </row>
    <row r="27" spans="1:4" ht="12.75">
      <c r="A27" s="325" t="s">
        <v>200</v>
      </c>
      <c r="B27" s="329"/>
      <c r="C27" s="330"/>
      <c r="D27" s="329">
        <f t="shared" si="0"/>
        <v>0</v>
      </c>
    </row>
    <row r="28" spans="1:4" ht="12.75">
      <c r="A28" s="325" t="s">
        <v>201</v>
      </c>
      <c r="B28" s="329">
        <v>0</v>
      </c>
      <c r="C28" s="330">
        <v>0</v>
      </c>
      <c r="D28" s="329">
        <f t="shared" si="0"/>
        <v>0</v>
      </c>
    </row>
    <row r="29" spans="1:4" ht="12.75">
      <c r="A29" s="325" t="s">
        <v>321</v>
      </c>
      <c r="B29" s="329"/>
      <c r="C29" s="330"/>
      <c r="D29" s="329">
        <f t="shared" si="0"/>
        <v>0</v>
      </c>
    </row>
    <row r="30" spans="1:4" ht="12" customHeight="1">
      <c r="A30" s="325" t="s">
        <v>842</v>
      </c>
      <c r="B30" s="330"/>
      <c r="C30" s="330"/>
      <c r="D30" s="329">
        <f t="shared" si="0"/>
        <v>0</v>
      </c>
    </row>
    <row r="31" spans="1:4" ht="12.75">
      <c r="A31" s="325" t="s">
        <v>194</v>
      </c>
      <c r="B31" s="329">
        <f>B25-B29-B30</f>
        <v>0</v>
      </c>
      <c r="C31" s="329">
        <f>C25-C29-C30</f>
        <v>0</v>
      </c>
      <c r="D31" s="329">
        <f>D25-D29-D30</f>
        <v>0</v>
      </c>
    </row>
    <row r="32" spans="1:4" ht="12.75">
      <c r="A32" s="625" t="s">
        <v>322</v>
      </c>
      <c r="B32" s="586">
        <f>B20-B31</f>
        <v>0</v>
      </c>
      <c r="C32" s="586">
        <f>C20-C31</f>
        <v>0</v>
      </c>
      <c r="D32" s="527">
        <f>D31-D20</f>
        <v>0</v>
      </c>
    </row>
    <row r="33" spans="1:5" ht="12.75">
      <c r="A33" s="626" t="s">
        <v>323</v>
      </c>
      <c r="B33" s="579"/>
      <c r="C33" s="579"/>
      <c r="D33" s="572"/>
      <c r="E33" s="224"/>
    </row>
    <row r="34" spans="1:5" ht="12.75" customHeight="1">
      <c r="A34" s="849" t="s">
        <v>1068</v>
      </c>
      <c r="B34" s="850"/>
      <c r="C34" s="850"/>
      <c r="D34" s="850"/>
      <c r="E34" s="851"/>
    </row>
    <row r="35" spans="1:5" ht="12.75">
      <c r="A35" s="843" t="s">
        <v>324</v>
      </c>
      <c r="B35" s="843"/>
      <c r="C35" s="843"/>
      <c r="D35" s="843"/>
      <c r="E35" s="843"/>
    </row>
    <row r="36" spans="1:5" ht="15.75" customHeight="1">
      <c r="A36" s="844" t="s">
        <v>584</v>
      </c>
      <c r="B36" s="844"/>
      <c r="C36" s="844"/>
      <c r="D36" s="844"/>
      <c r="E36" s="844"/>
    </row>
    <row r="37" spans="1:5" ht="15.75">
      <c r="A37" s="331"/>
      <c r="B37" s="331"/>
      <c r="C37" s="331"/>
      <c r="D37" s="331"/>
      <c r="E37" s="331"/>
    </row>
    <row r="38" spans="1:5" ht="12.75">
      <c r="A38" s="322"/>
      <c r="B38" s="322"/>
      <c r="C38" s="322"/>
      <c r="D38" s="322"/>
      <c r="E38" s="322"/>
    </row>
    <row r="39" spans="1:5" ht="12.75">
      <c r="A39" s="322"/>
      <c r="B39" s="322"/>
      <c r="C39" s="322"/>
      <c r="D39" s="322"/>
      <c r="E39" s="322"/>
    </row>
    <row r="40" ht="12.75"/>
    <row r="42" spans="1:5" ht="11.25" customHeight="1">
      <c r="A42" s="518" t="s">
        <v>1055</v>
      </c>
      <c r="B42" s="518" t="s">
        <v>1057</v>
      </c>
      <c r="C42" s="518"/>
      <c r="D42" s="519" t="s">
        <v>1059</v>
      </c>
      <c r="E42" s="518"/>
    </row>
    <row r="43" spans="1:5" ht="11.25" customHeight="1">
      <c r="A43" s="518" t="s">
        <v>1056</v>
      </c>
      <c r="B43" s="518" t="s">
        <v>1058</v>
      </c>
      <c r="C43" s="518"/>
      <c r="D43" s="518" t="s">
        <v>1060</v>
      </c>
      <c r="E43" s="518"/>
    </row>
    <row r="44" spans="1:5" ht="11.25" customHeight="1">
      <c r="A44" s="522"/>
      <c r="B44" s="565" t="s">
        <v>1073</v>
      </c>
      <c r="C44" s="565"/>
      <c r="D44" s="522" t="s">
        <v>1074</v>
      </c>
      <c r="E44" s="565"/>
    </row>
  </sheetData>
  <sheetProtection/>
  <mergeCells count="9">
    <mergeCell ref="A35:E35"/>
    <mergeCell ref="A36:E36"/>
    <mergeCell ref="A11:E11"/>
    <mergeCell ref="A14:E14"/>
    <mergeCell ref="A15:E15"/>
    <mergeCell ref="E18:E19"/>
    <mergeCell ref="B16:C16"/>
    <mergeCell ref="A18:A19"/>
    <mergeCell ref="A34:E34"/>
  </mergeCells>
  <printOptions horizontalCentered="1"/>
  <pageMargins left="0.5905511811023623" right="0.4724409448818898" top="0.5905511811023623" bottom="0.3937007874015748" header="0" footer="0.1968503937007874"/>
  <pageSetup horizontalDpi="600" verticalDpi="600" orientation="landscape" paperSize="9" scale="8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00"/>
  <sheetViews>
    <sheetView showGridLines="0" zoomScale="85" zoomScaleNormal="85" zoomScalePageLayoutView="0" workbookViewId="0" topLeftCell="A1">
      <selection activeCell="A1" sqref="A1"/>
    </sheetView>
  </sheetViews>
  <sheetFormatPr defaultColWidth="7.8515625" defaultRowHeight="11.25" customHeight="1"/>
  <cols>
    <col min="1" max="1" width="24.57421875" style="333" customWidth="1"/>
    <col min="2" max="5" width="28.7109375" style="333" customWidth="1"/>
    <col min="6" max="16384" width="7.8515625" style="333" customWidth="1"/>
  </cols>
  <sheetData>
    <row r="1" s="103" customFormat="1" ht="12.75"/>
    <row r="2" s="103" customFormat="1" ht="25.5" customHeight="1">
      <c r="A2" s="497" t="s">
        <v>1050</v>
      </c>
    </row>
    <row r="3" s="103" customFormat="1" ht="15.75" customHeight="1">
      <c r="A3" s="289" t="s">
        <v>1051</v>
      </c>
    </row>
    <row r="4" s="103" customFormat="1" ht="15.75" customHeight="1">
      <c r="A4" s="289" t="s">
        <v>1052</v>
      </c>
    </row>
    <row r="5" s="103" customFormat="1" ht="15.75" customHeight="1">
      <c r="A5" s="289" t="s">
        <v>1053</v>
      </c>
    </row>
    <row r="6" spans="1:5" s="103" customFormat="1" ht="15.75">
      <c r="A6" s="104" t="s">
        <v>343</v>
      </c>
      <c r="B6" s="332"/>
      <c r="C6" s="332"/>
      <c r="D6" s="333"/>
      <c r="E6" s="333"/>
    </row>
    <row r="7" s="103" customFormat="1" ht="12.75"/>
    <row r="8" spans="1:5" ht="12.75">
      <c r="A8" s="484" t="s">
        <v>1050</v>
      </c>
      <c r="B8" s="106"/>
      <c r="C8" s="106"/>
      <c r="D8" s="106"/>
      <c r="E8" s="106"/>
    </row>
    <row r="9" spans="1:5" ht="12.75">
      <c r="A9" s="106" t="s">
        <v>68</v>
      </c>
      <c r="B9" s="106"/>
      <c r="C9" s="106"/>
      <c r="D9" s="106"/>
      <c r="E9" s="106"/>
    </row>
    <row r="10" spans="1:5" ht="12.75">
      <c r="A10" s="107" t="s">
        <v>97</v>
      </c>
      <c r="B10" s="107"/>
      <c r="C10" s="107"/>
      <c r="D10" s="107"/>
      <c r="E10" s="107"/>
    </row>
    <row r="11" spans="1:5" ht="12.75">
      <c r="A11" s="745" t="s">
        <v>131</v>
      </c>
      <c r="B11" s="745"/>
      <c r="C11" s="745"/>
      <c r="D11" s="745"/>
      <c r="E11" s="745"/>
    </row>
    <row r="12" spans="1:10" s="103" customFormat="1" ht="12.75">
      <c r="A12" s="106" t="s">
        <v>1086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5" ht="12.75">
      <c r="A13" s="333" t="s">
        <v>1054</v>
      </c>
      <c r="B13" s="172"/>
      <c r="C13" s="103"/>
      <c r="D13" s="103"/>
      <c r="E13" s="103"/>
    </row>
    <row r="14" spans="1:5" ht="12.75" hidden="1">
      <c r="A14" s="745"/>
      <c r="B14" s="745"/>
      <c r="C14" s="745"/>
      <c r="D14" s="745"/>
      <c r="E14" s="745"/>
    </row>
    <row r="15" spans="1:5" ht="12.75" hidden="1">
      <c r="A15" s="745"/>
      <c r="B15" s="745"/>
      <c r="C15" s="745"/>
      <c r="D15" s="745"/>
      <c r="E15" s="745"/>
    </row>
    <row r="16" spans="1:5" ht="12.75">
      <c r="A16" s="103"/>
      <c r="B16" s="103"/>
      <c r="C16" s="103"/>
      <c r="D16" s="103"/>
      <c r="E16" s="103"/>
    </row>
    <row r="17" spans="1:5" ht="12.75">
      <c r="A17" s="103" t="s">
        <v>342</v>
      </c>
      <c r="B17" s="103"/>
      <c r="C17" s="103"/>
      <c r="D17" s="153"/>
      <c r="E17" s="334" t="s">
        <v>360</v>
      </c>
    </row>
    <row r="18" spans="1:5" ht="12.75">
      <c r="A18" s="749" t="s">
        <v>817</v>
      </c>
      <c r="B18" s="750"/>
      <c r="C18" s="750"/>
      <c r="D18" s="750"/>
      <c r="E18" s="751"/>
    </row>
    <row r="19" spans="1:5" ht="15" customHeight="1">
      <c r="A19" s="547" t="s">
        <v>195</v>
      </c>
      <c r="B19" s="525" t="s">
        <v>251</v>
      </c>
      <c r="C19" s="525" t="s">
        <v>106</v>
      </c>
      <c r="D19" s="525" t="s">
        <v>253</v>
      </c>
      <c r="E19" s="524" t="s">
        <v>95</v>
      </c>
    </row>
    <row r="20" spans="1:5" ht="15" customHeight="1">
      <c r="A20" s="639"/>
      <c r="B20" s="529" t="s">
        <v>252</v>
      </c>
      <c r="C20" s="529" t="s">
        <v>252</v>
      </c>
      <c r="D20" s="529" t="s">
        <v>254</v>
      </c>
      <c r="E20" s="528" t="s">
        <v>96</v>
      </c>
    </row>
    <row r="21" spans="1:5" ht="19.5" customHeight="1">
      <c r="A21" s="639"/>
      <c r="B21" s="529" t="s">
        <v>79</v>
      </c>
      <c r="C21" s="529" t="s">
        <v>80</v>
      </c>
      <c r="D21" s="529" t="s">
        <v>255</v>
      </c>
      <c r="E21" s="596" t="s">
        <v>256</v>
      </c>
    </row>
    <row r="22" spans="1:5" ht="11.25" customHeight="1">
      <c r="A22" s="335"/>
      <c r="B22" s="336"/>
      <c r="C22" s="164"/>
      <c r="D22" s="119"/>
      <c r="E22" s="336"/>
    </row>
    <row r="23" spans="1:5" ht="11.25" customHeight="1">
      <c r="A23" s="337"/>
      <c r="B23" s="149"/>
      <c r="C23" s="166"/>
      <c r="D23" s="118"/>
      <c r="E23" s="149"/>
    </row>
    <row r="24" spans="1:5" ht="11.25" customHeight="1">
      <c r="A24" s="337"/>
      <c r="B24" s="149"/>
      <c r="C24" s="166"/>
      <c r="D24" s="118"/>
      <c r="E24" s="149"/>
    </row>
    <row r="25" spans="1:5" ht="11.25" customHeight="1">
      <c r="A25" s="337"/>
      <c r="B25" s="149"/>
      <c r="C25" s="166"/>
      <c r="D25" s="118"/>
      <c r="E25" s="149"/>
    </row>
    <row r="26" spans="1:5" ht="11.25" customHeight="1">
      <c r="A26" s="337"/>
      <c r="B26" s="149"/>
      <c r="C26" s="166"/>
      <c r="D26" s="118"/>
      <c r="E26" s="149"/>
    </row>
    <row r="27" spans="1:5" ht="11.25" customHeight="1">
      <c r="A27" s="337"/>
      <c r="B27" s="149"/>
      <c r="C27" s="166"/>
      <c r="D27" s="118"/>
      <c r="E27" s="149"/>
    </row>
    <row r="28" spans="1:5" ht="11.25" customHeight="1">
      <c r="A28" s="337"/>
      <c r="B28" s="149"/>
      <c r="C28" s="166"/>
      <c r="D28" s="118"/>
      <c r="E28" s="149"/>
    </row>
    <row r="29" spans="1:5" ht="11.25" customHeight="1">
      <c r="A29" s="337"/>
      <c r="B29" s="149"/>
      <c r="C29" s="166"/>
      <c r="D29" s="118"/>
      <c r="E29" s="149"/>
    </row>
    <row r="30" spans="1:5" ht="11.25" customHeight="1">
      <c r="A30" s="337"/>
      <c r="B30" s="149"/>
      <c r="C30" s="166"/>
      <c r="D30" s="118"/>
      <c r="E30" s="149"/>
    </row>
    <row r="31" spans="1:5" ht="11.25" customHeight="1">
      <c r="A31" s="337"/>
      <c r="B31" s="149"/>
      <c r="C31" s="166"/>
      <c r="D31" s="118"/>
      <c r="E31" s="149"/>
    </row>
    <row r="32" spans="1:5" ht="11.25" customHeight="1">
      <c r="A32" s="337"/>
      <c r="B32" s="149"/>
      <c r="C32" s="166"/>
      <c r="D32" s="118"/>
      <c r="E32" s="149"/>
    </row>
    <row r="33" spans="1:5" ht="11.25" customHeight="1">
      <c r="A33" s="337"/>
      <c r="B33" s="149"/>
      <c r="C33" s="166"/>
      <c r="D33" s="118"/>
      <c r="E33" s="149"/>
    </row>
    <row r="34" spans="1:5" ht="11.25" customHeight="1">
      <c r="A34" s="337"/>
      <c r="B34" s="149"/>
      <c r="C34" s="166"/>
      <c r="D34" s="118"/>
      <c r="E34" s="149"/>
    </row>
    <row r="35" spans="1:5" ht="11.25" customHeight="1">
      <c r="A35" s="337"/>
      <c r="B35" s="149"/>
      <c r="C35" s="166"/>
      <c r="D35" s="118"/>
      <c r="E35" s="149"/>
    </row>
    <row r="36" spans="1:5" ht="11.25" customHeight="1">
      <c r="A36" s="337"/>
      <c r="B36" s="149"/>
      <c r="C36" s="166"/>
      <c r="D36" s="118"/>
      <c r="E36" s="149"/>
    </row>
    <row r="37" spans="1:5" ht="11.25" customHeight="1">
      <c r="A37" s="337"/>
      <c r="B37" s="149"/>
      <c r="C37" s="166"/>
      <c r="D37" s="118"/>
      <c r="E37" s="149"/>
    </row>
    <row r="38" spans="1:5" ht="11.25" customHeight="1">
      <c r="A38" s="337"/>
      <c r="B38" s="149"/>
      <c r="C38" s="166"/>
      <c r="D38" s="118"/>
      <c r="E38" s="149"/>
    </row>
    <row r="39" spans="1:5" ht="11.25" customHeight="1">
      <c r="A39" s="337"/>
      <c r="B39" s="149"/>
      <c r="C39" s="166"/>
      <c r="D39" s="118"/>
      <c r="E39" s="149"/>
    </row>
    <row r="40" spans="1:5" ht="11.25" customHeight="1">
      <c r="A40" s="337"/>
      <c r="B40" s="149"/>
      <c r="C40" s="166"/>
      <c r="D40" s="118"/>
      <c r="E40" s="149"/>
    </row>
    <row r="41" spans="1:5" ht="11.25" customHeight="1">
      <c r="A41" s="337"/>
      <c r="B41" s="149"/>
      <c r="C41" s="166"/>
      <c r="D41" s="118"/>
      <c r="E41" s="149"/>
    </row>
    <row r="42" spans="1:5" ht="11.25" customHeight="1">
      <c r="A42" s="337"/>
      <c r="B42" s="149"/>
      <c r="C42" s="166"/>
      <c r="D42" s="118"/>
      <c r="E42" s="149"/>
    </row>
    <row r="43" spans="1:5" ht="11.25" customHeight="1">
      <c r="A43" s="337"/>
      <c r="B43" s="149"/>
      <c r="C43" s="166"/>
      <c r="D43" s="118"/>
      <c r="E43" s="149"/>
    </row>
    <row r="44" spans="1:5" ht="11.25" customHeight="1">
      <c r="A44" s="337"/>
      <c r="B44" s="149"/>
      <c r="C44" s="166"/>
      <c r="D44" s="118"/>
      <c r="E44" s="149"/>
    </row>
    <row r="45" spans="1:5" ht="11.25" customHeight="1">
      <c r="A45" s="337"/>
      <c r="B45" s="149"/>
      <c r="C45" s="166"/>
      <c r="D45" s="118"/>
      <c r="E45" s="149"/>
    </row>
    <row r="46" spans="1:5" ht="11.25" customHeight="1">
      <c r="A46" s="337"/>
      <c r="B46" s="149"/>
      <c r="C46" s="166"/>
      <c r="D46" s="118"/>
      <c r="E46" s="149"/>
    </row>
    <row r="47" spans="1:5" ht="11.25" customHeight="1">
      <c r="A47" s="337"/>
      <c r="B47" s="149"/>
      <c r="C47" s="166"/>
      <c r="D47" s="118"/>
      <c r="E47" s="149"/>
    </row>
    <row r="48" spans="1:5" ht="11.25" customHeight="1">
      <c r="A48" s="337"/>
      <c r="B48" s="149"/>
      <c r="C48" s="166"/>
      <c r="D48" s="118"/>
      <c r="E48" s="149"/>
    </row>
    <row r="49" spans="1:5" ht="11.25" customHeight="1">
      <c r="A49" s="337"/>
      <c r="B49" s="149"/>
      <c r="C49" s="166"/>
      <c r="D49" s="118"/>
      <c r="E49" s="149"/>
    </row>
    <row r="50" spans="1:5" ht="11.25" customHeight="1">
      <c r="A50" s="337"/>
      <c r="B50" s="149"/>
      <c r="C50" s="166"/>
      <c r="D50" s="118"/>
      <c r="E50" s="149"/>
    </row>
    <row r="51" spans="1:5" ht="11.25" customHeight="1">
      <c r="A51" s="337"/>
      <c r="B51" s="149"/>
      <c r="C51" s="166"/>
      <c r="D51" s="118"/>
      <c r="E51" s="149"/>
    </row>
    <row r="52" spans="1:5" ht="11.25" customHeight="1">
      <c r="A52" s="337"/>
      <c r="B52" s="149"/>
      <c r="C52" s="166"/>
      <c r="D52" s="118"/>
      <c r="E52" s="149"/>
    </row>
    <row r="53" spans="1:5" ht="11.25" customHeight="1">
      <c r="A53" s="337"/>
      <c r="B53" s="149"/>
      <c r="C53" s="166"/>
      <c r="D53" s="118"/>
      <c r="E53" s="149"/>
    </row>
    <row r="54" spans="1:5" ht="11.25" customHeight="1">
      <c r="A54" s="337"/>
      <c r="B54" s="149"/>
      <c r="C54" s="166"/>
      <c r="D54" s="118"/>
      <c r="E54" s="149"/>
    </row>
    <row r="55" spans="1:5" ht="11.25" customHeight="1">
      <c r="A55" s="337"/>
      <c r="B55" s="149"/>
      <c r="C55" s="166"/>
      <c r="D55" s="118"/>
      <c r="E55" s="149"/>
    </row>
    <row r="56" spans="1:5" ht="11.25" customHeight="1">
      <c r="A56" s="337"/>
      <c r="B56" s="149"/>
      <c r="C56" s="166"/>
      <c r="D56" s="118"/>
      <c r="E56" s="149"/>
    </row>
    <row r="57" spans="1:5" ht="11.25" customHeight="1">
      <c r="A57" s="337"/>
      <c r="B57" s="149"/>
      <c r="C57" s="166"/>
      <c r="D57" s="118"/>
      <c r="E57" s="149"/>
    </row>
    <row r="58" spans="1:5" ht="11.25" customHeight="1">
      <c r="A58" s="337"/>
      <c r="B58" s="149"/>
      <c r="C58" s="166"/>
      <c r="D58" s="118"/>
      <c r="E58" s="149"/>
    </row>
    <row r="59" spans="1:5" ht="11.25" customHeight="1">
      <c r="A59" s="337"/>
      <c r="B59" s="149"/>
      <c r="C59" s="166"/>
      <c r="D59" s="118"/>
      <c r="E59" s="149"/>
    </row>
    <row r="60" spans="1:5" ht="11.25" customHeight="1">
      <c r="A60" s="337"/>
      <c r="B60" s="149"/>
      <c r="C60" s="166"/>
      <c r="D60" s="118"/>
      <c r="E60" s="149"/>
    </row>
    <row r="61" spans="1:5" ht="11.25" customHeight="1">
      <c r="A61" s="337"/>
      <c r="B61" s="149"/>
      <c r="C61" s="166"/>
      <c r="D61" s="118"/>
      <c r="E61" s="149"/>
    </row>
    <row r="62" spans="1:5" ht="11.25" customHeight="1">
      <c r="A62" s="337"/>
      <c r="B62" s="149"/>
      <c r="C62" s="166"/>
      <c r="D62" s="118"/>
      <c r="E62" s="149"/>
    </row>
    <row r="63" spans="1:5" ht="11.25" customHeight="1">
      <c r="A63" s="337"/>
      <c r="B63" s="149"/>
      <c r="C63" s="166"/>
      <c r="D63" s="118"/>
      <c r="E63" s="149"/>
    </row>
    <row r="64" spans="1:5" ht="11.25" customHeight="1">
      <c r="A64" s="337"/>
      <c r="B64" s="149"/>
      <c r="C64" s="166"/>
      <c r="D64" s="118"/>
      <c r="E64" s="149"/>
    </row>
    <row r="65" spans="1:5" ht="11.25" customHeight="1">
      <c r="A65" s="337"/>
      <c r="B65" s="149"/>
      <c r="C65" s="166"/>
      <c r="D65" s="118"/>
      <c r="E65" s="149"/>
    </row>
    <row r="66" spans="1:5" ht="11.25" customHeight="1">
      <c r="A66" s="337"/>
      <c r="B66" s="149"/>
      <c r="C66" s="166"/>
      <c r="D66" s="118"/>
      <c r="E66" s="149"/>
    </row>
    <row r="67" spans="1:5" ht="11.25" customHeight="1">
      <c r="A67" s="337"/>
      <c r="B67" s="149"/>
      <c r="C67" s="166"/>
      <c r="D67" s="118"/>
      <c r="E67" s="149"/>
    </row>
    <row r="68" spans="1:5" ht="11.25" customHeight="1">
      <c r="A68" s="337"/>
      <c r="B68" s="149"/>
      <c r="C68" s="166"/>
      <c r="D68" s="118"/>
      <c r="E68" s="149"/>
    </row>
    <row r="69" spans="1:5" ht="11.25" customHeight="1">
      <c r="A69" s="337"/>
      <c r="B69" s="149"/>
      <c r="C69" s="166"/>
      <c r="D69" s="118"/>
      <c r="E69" s="149"/>
    </row>
    <row r="70" spans="1:5" ht="11.25" customHeight="1">
      <c r="A70" s="337"/>
      <c r="B70" s="149"/>
      <c r="C70" s="166"/>
      <c r="D70" s="118"/>
      <c r="E70" s="149"/>
    </row>
    <row r="71" spans="1:5" ht="11.25" customHeight="1">
      <c r="A71" s="337"/>
      <c r="B71" s="149"/>
      <c r="C71" s="166"/>
      <c r="D71" s="118"/>
      <c r="E71" s="149"/>
    </row>
    <row r="72" spans="1:5" ht="11.25" customHeight="1">
      <c r="A72" s="337"/>
      <c r="B72" s="149"/>
      <c r="C72" s="166"/>
      <c r="D72" s="118"/>
      <c r="E72" s="149"/>
    </row>
    <row r="73" spans="1:5" ht="11.25" customHeight="1">
      <c r="A73" s="337"/>
      <c r="B73" s="149"/>
      <c r="C73" s="166"/>
      <c r="D73" s="118"/>
      <c r="E73" s="149"/>
    </row>
    <row r="74" spans="1:5" ht="11.25" customHeight="1">
      <c r="A74" s="337"/>
      <c r="B74" s="149"/>
      <c r="C74" s="166"/>
      <c r="D74" s="118"/>
      <c r="E74" s="149"/>
    </row>
    <row r="75" spans="1:5" ht="11.25" customHeight="1">
      <c r="A75" s="337"/>
      <c r="B75" s="149"/>
      <c r="C75" s="166"/>
      <c r="D75" s="118"/>
      <c r="E75" s="149"/>
    </row>
    <row r="76" spans="1:5" ht="11.25" customHeight="1">
      <c r="A76" s="337"/>
      <c r="B76" s="149"/>
      <c r="C76" s="166"/>
      <c r="D76" s="118"/>
      <c r="E76" s="149"/>
    </row>
    <row r="77" spans="1:5" ht="11.25" customHeight="1">
      <c r="A77" s="337"/>
      <c r="B77" s="149"/>
      <c r="C77" s="166"/>
      <c r="D77" s="118"/>
      <c r="E77" s="149"/>
    </row>
    <row r="78" spans="1:5" ht="11.25" customHeight="1">
      <c r="A78" s="337"/>
      <c r="B78" s="149"/>
      <c r="C78" s="166"/>
      <c r="D78" s="118"/>
      <c r="E78" s="149"/>
    </row>
    <row r="79" spans="1:5" ht="11.25" customHeight="1">
      <c r="A79" s="337"/>
      <c r="B79" s="149"/>
      <c r="C79" s="166"/>
      <c r="D79" s="118"/>
      <c r="E79" s="149"/>
    </row>
    <row r="80" spans="1:5" ht="11.25" customHeight="1">
      <c r="A80" s="337"/>
      <c r="B80" s="149"/>
      <c r="C80" s="166"/>
      <c r="D80" s="118"/>
      <c r="E80" s="149"/>
    </row>
    <row r="81" spans="1:5" ht="11.25" customHeight="1">
      <c r="A81" s="337"/>
      <c r="B81" s="149"/>
      <c r="C81" s="166"/>
      <c r="D81" s="118"/>
      <c r="E81" s="149"/>
    </row>
    <row r="82" spans="1:5" ht="11.25" customHeight="1">
      <c r="A82" s="337"/>
      <c r="B82" s="149"/>
      <c r="C82" s="166"/>
      <c r="D82" s="118"/>
      <c r="E82" s="149"/>
    </row>
    <row r="83" spans="1:5" ht="11.25" customHeight="1">
      <c r="A83" s="337"/>
      <c r="B83" s="149"/>
      <c r="C83" s="166"/>
      <c r="D83" s="118"/>
      <c r="E83" s="149"/>
    </row>
    <row r="84" spans="1:5" ht="11.25" customHeight="1">
      <c r="A84" s="337"/>
      <c r="B84" s="149"/>
      <c r="C84" s="166"/>
      <c r="D84" s="118"/>
      <c r="E84" s="149"/>
    </row>
    <row r="85" spans="1:5" ht="11.25" customHeight="1">
      <c r="A85" s="337"/>
      <c r="B85" s="149"/>
      <c r="C85" s="166"/>
      <c r="D85" s="118"/>
      <c r="E85" s="149"/>
    </row>
    <row r="86" spans="1:5" ht="11.25" customHeight="1">
      <c r="A86" s="337"/>
      <c r="B86" s="149"/>
      <c r="C86" s="166"/>
      <c r="D86" s="118"/>
      <c r="E86" s="149"/>
    </row>
    <row r="87" spans="1:5" ht="11.25" customHeight="1">
      <c r="A87" s="337"/>
      <c r="B87" s="149"/>
      <c r="C87" s="166"/>
      <c r="D87" s="118"/>
      <c r="E87" s="149"/>
    </row>
    <row r="88" spans="1:5" ht="11.25" customHeight="1">
      <c r="A88" s="337"/>
      <c r="B88" s="149"/>
      <c r="C88" s="166"/>
      <c r="D88" s="118"/>
      <c r="E88" s="149"/>
    </row>
    <row r="89" spans="1:5" ht="11.25" customHeight="1">
      <c r="A89" s="337"/>
      <c r="B89" s="149"/>
      <c r="C89" s="166"/>
      <c r="D89" s="118"/>
      <c r="E89" s="149"/>
    </row>
    <row r="90" spans="1:5" ht="11.25" customHeight="1">
      <c r="A90" s="337"/>
      <c r="B90" s="149"/>
      <c r="C90" s="166"/>
      <c r="D90" s="118"/>
      <c r="E90" s="149"/>
    </row>
    <row r="91" spans="1:5" ht="11.25" customHeight="1">
      <c r="A91" s="337"/>
      <c r="B91" s="149"/>
      <c r="C91" s="166"/>
      <c r="D91" s="118"/>
      <c r="E91" s="149"/>
    </row>
    <row r="92" spans="1:5" ht="11.25" customHeight="1">
      <c r="A92" s="337"/>
      <c r="B92" s="149"/>
      <c r="C92" s="166"/>
      <c r="D92" s="118"/>
      <c r="E92" s="149"/>
    </row>
    <row r="93" spans="1:5" ht="11.25" customHeight="1">
      <c r="A93" s="337"/>
      <c r="B93" s="149"/>
      <c r="C93" s="166"/>
      <c r="D93" s="118"/>
      <c r="E93" s="149"/>
    </row>
    <row r="94" spans="1:5" ht="11.25" customHeight="1">
      <c r="A94" s="337"/>
      <c r="B94" s="149"/>
      <c r="C94" s="166"/>
      <c r="D94" s="118"/>
      <c r="E94" s="149"/>
    </row>
    <row r="95" spans="1:5" ht="11.25" customHeight="1">
      <c r="A95" s="337"/>
      <c r="B95" s="149"/>
      <c r="C95" s="166"/>
      <c r="D95" s="118"/>
      <c r="E95" s="149"/>
    </row>
    <row r="96" spans="1:5" ht="11.25" customHeight="1">
      <c r="A96" s="338"/>
      <c r="B96" s="150"/>
      <c r="C96" s="339"/>
      <c r="D96" s="133"/>
      <c r="E96" s="133"/>
    </row>
    <row r="97" spans="1:5" ht="11.25" customHeight="1">
      <c r="A97" s="855" t="s">
        <v>359</v>
      </c>
      <c r="B97" s="856"/>
      <c r="C97" s="856"/>
      <c r="D97" s="856"/>
      <c r="E97" s="856"/>
    </row>
    <row r="98" spans="1:5" ht="11.25" customHeight="1">
      <c r="A98" s="744" t="s">
        <v>636</v>
      </c>
      <c r="B98" s="744"/>
      <c r="C98" s="744"/>
      <c r="D98" s="744"/>
      <c r="E98" s="744"/>
    </row>
    <row r="99" spans="1:5" ht="11.25" customHeight="1">
      <c r="A99" s="852" t="s">
        <v>94</v>
      </c>
      <c r="B99" s="852"/>
      <c r="C99" s="852"/>
      <c r="D99" s="852"/>
      <c r="E99" s="852"/>
    </row>
    <row r="104" spans="1:5" ht="11.25" customHeight="1">
      <c r="A104" s="853"/>
      <c r="B104" s="853"/>
      <c r="C104" s="341"/>
      <c r="D104" s="854"/>
      <c r="E104" s="854"/>
    </row>
    <row r="105" spans="1:5" ht="11.25" customHeight="1">
      <c r="A105" s="853"/>
      <c r="B105" s="853"/>
      <c r="C105" s="341"/>
      <c r="D105" s="854"/>
      <c r="E105" s="854"/>
    </row>
    <row r="108" spans="1:5" ht="11.25" customHeight="1">
      <c r="A108" s="342"/>
      <c r="B108" s="166"/>
      <c r="C108" s="166"/>
      <c r="D108" s="166"/>
      <c r="E108" s="166"/>
    </row>
    <row r="109" spans="1:5" ht="11.25" customHeight="1">
      <c r="A109" s="749" t="s">
        <v>818</v>
      </c>
      <c r="B109" s="750"/>
      <c r="C109" s="750"/>
      <c r="D109" s="750"/>
      <c r="E109" s="751"/>
    </row>
    <row r="110" spans="1:5" ht="11.25" customHeight="1">
      <c r="A110" s="547" t="s">
        <v>195</v>
      </c>
      <c r="B110" s="525" t="s">
        <v>251</v>
      </c>
      <c r="C110" s="525" t="s">
        <v>106</v>
      </c>
      <c r="D110" s="525" t="s">
        <v>253</v>
      </c>
      <c r="E110" s="524" t="s">
        <v>95</v>
      </c>
    </row>
    <row r="111" spans="1:5" ht="11.25" customHeight="1">
      <c r="A111" s="639"/>
      <c r="B111" s="529" t="s">
        <v>252</v>
      </c>
      <c r="C111" s="529" t="s">
        <v>252</v>
      </c>
      <c r="D111" s="529" t="s">
        <v>254</v>
      </c>
      <c r="E111" s="528" t="s">
        <v>96</v>
      </c>
    </row>
    <row r="112" spans="1:5" ht="11.25" customHeight="1">
      <c r="A112" s="639"/>
      <c r="B112" s="529" t="s">
        <v>79</v>
      </c>
      <c r="C112" s="529" t="s">
        <v>80</v>
      </c>
      <c r="D112" s="529" t="s">
        <v>255</v>
      </c>
      <c r="E112" s="596" t="s">
        <v>256</v>
      </c>
    </row>
    <row r="113" spans="1:5" ht="11.25" customHeight="1">
      <c r="A113" s="335"/>
      <c r="B113" s="336"/>
      <c r="C113" s="164"/>
      <c r="D113" s="119"/>
      <c r="E113" s="336"/>
    </row>
    <row r="114" spans="1:5" ht="11.25" customHeight="1">
      <c r="A114" s="337"/>
      <c r="B114" s="149"/>
      <c r="C114" s="166"/>
      <c r="D114" s="118"/>
      <c r="E114" s="149"/>
    </row>
    <row r="115" spans="1:5" ht="11.25" customHeight="1">
      <c r="A115" s="337"/>
      <c r="B115" s="149"/>
      <c r="C115" s="166"/>
      <c r="D115" s="118"/>
      <c r="E115" s="149"/>
    </row>
    <row r="116" spans="1:5" ht="11.25" customHeight="1">
      <c r="A116" s="337"/>
      <c r="B116" s="149"/>
      <c r="C116" s="166"/>
      <c r="D116" s="118"/>
      <c r="E116" s="149"/>
    </row>
    <row r="117" spans="1:5" ht="11.25" customHeight="1">
      <c r="A117" s="337"/>
      <c r="B117" s="149"/>
      <c r="C117" s="166"/>
      <c r="D117" s="118"/>
      <c r="E117" s="149"/>
    </row>
    <row r="118" spans="1:5" ht="11.25" customHeight="1">
      <c r="A118" s="337"/>
      <c r="B118" s="149"/>
      <c r="C118" s="166"/>
      <c r="D118" s="118"/>
      <c r="E118" s="149"/>
    </row>
    <row r="119" spans="1:5" ht="11.25" customHeight="1">
      <c r="A119" s="337"/>
      <c r="B119" s="149"/>
      <c r="C119" s="166"/>
      <c r="D119" s="118"/>
      <c r="E119" s="149"/>
    </row>
    <row r="120" spans="1:5" ht="11.25" customHeight="1">
      <c r="A120" s="337"/>
      <c r="B120" s="149"/>
      <c r="C120" s="166"/>
      <c r="D120" s="118"/>
      <c r="E120" s="149"/>
    </row>
    <row r="121" spans="1:5" ht="11.25" customHeight="1">
      <c r="A121" s="337"/>
      <c r="B121" s="149"/>
      <c r="C121" s="166"/>
      <c r="D121" s="118"/>
      <c r="E121" s="149"/>
    </row>
    <row r="122" spans="1:5" ht="11.25" customHeight="1">
      <c r="A122" s="337"/>
      <c r="B122" s="149"/>
      <c r="C122" s="166"/>
      <c r="D122" s="118"/>
      <c r="E122" s="149"/>
    </row>
    <row r="123" spans="1:5" ht="11.25" customHeight="1">
      <c r="A123" s="337"/>
      <c r="B123" s="149"/>
      <c r="C123" s="166"/>
      <c r="D123" s="118"/>
      <c r="E123" s="149"/>
    </row>
    <row r="124" spans="1:5" ht="11.25" customHeight="1">
      <c r="A124" s="337"/>
      <c r="B124" s="149"/>
      <c r="C124" s="166"/>
      <c r="D124" s="118"/>
      <c r="E124" s="149"/>
    </row>
    <row r="125" spans="1:5" ht="11.25" customHeight="1">
      <c r="A125" s="337"/>
      <c r="B125" s="149"/>
      <c r="C125" s="166"/>
      <c r="D125" s="118"/>
      <c r="E125" s="149"/>
    </row>
    <row r="126" spans="1:5" ht="11.25" customHeight="1">
      <c r="A126" s="337"/>
      <c r="B126" s="149"/>
      <c r="C126" s="166"/>
      <c r="D126" s="118"/>
      <c r="E126" s="149"/>
    </row>
    <row r="127" spans="1:5" ht="11.25" customHeight="1">
      <c r="A127" s="337"/>
      <c r="B127" s="149"/>
      <c r="C127" s="166"/>
      <c r="D127" s="118"/>
      <c r="E127" s="149"/>
    </row>
    <row r="128" spans="1:5" ht="11.25" customHeight="1">
      <c r="A128" s="337"/>
      <c r="B128" s="149"/>
      <c r="C128" s="166"/>
      <c r="D128" s="118"/>
      <c r="E128" s="149"/>
    </row>
    <row r="129" spans="1:5" ht="11.25" customHeight="1">
      <c r="A129" s="337"/>
      <c r="B129" s="149"/>
      <c r="C129" s="166"/>
      <c r="D129" s="118"/>
      <c r="E129" s="149"/>
    </row>
    <row r="130" spans="1:5" ht="11.25" customHeight="1">
      <c r="A130" s="337"/>
      <c r="B130" s="149"/>
      <c r="C130" s="166"/>
      <c r="D130" s="118"/>
      <c r="E130" s="149"/>
    </row>
    <row r="131" spans="1:5" ht="11.25" customHeight="1">
      <c r="A131" s="337"/>
      <c r="B131" s="149"/>
      <c r="C131" s="166"/>
      <c r="D131" s="118"/>
      <c r="E131" s="149"/>
    </row>
    <row r="132" spans="1:5" ht="11.25" customHeight="1">
      <c r="A132" s="337"/>
      <c r="B132" s="149"/>
      <c r="C132" s="166"/>
      <c r="D132" s="118"/>
      <c r="E132" s="149"/>
    </row>
    <row r="133" spans="1:5" ht="11.25" customHeight="1">
      <c r="A133" s="337"/>
      <c r="B133" s="149"/>
      <c r="C133" s="166"/>
      <c r="D133" s="118"/>
      <c r="E133" s="149"/>
    </row>
    <row r="134" spans="1:5" ht="11.25" customHeight="1">
      <c r="A134" s="337"/>
      <c r="B134" s="149"/>
      <c r="C134" s="166"/>
      <c r="D134" s="118"/>
      <c r="E134" s="149"/>
    </row>
    <row r="135" spans="1:5" ht="11.25" customHeight="1">
      <c r="A135" s="337"/>
      <c r="B135" s="149"/>
      <c r="C135" s="166"/>
      <c r="D135" s="118"/>
      <c r="E135" s="149"/>
    </row>
    <row r="136" spans="1:5" ht="11.25" customHeight="1">
      <c r="A136" s="337"/>
      <c r="B136" s="149"/>
      <c r="C136" s="166"/>
      <c r="D136" s="118"/>
      <c r="E136" s="149"/>
    </row>
    <row r="137" spans="1:5" ht="11.25" customHeight="1">
      <c r="A137" s="337"/>
      <c r="B137" s="149"/>
      <c r="C137" s="166"/>
      <c r="D137" s="118"/>
      <c r="E137" s="149"/>
    </row>
    <row r="138" spans="1:5" ht="11.25" customHeight="1">
      <c r="A138" s="337"/>
      <c r="B138" s="149"/>
      <c r="C138" s="166"/>
      <c r="D138" s="118"/>
      <c r="E138" s="149"/>
    </row>
    <row r="139" spans="1:5" ht="11.25" customHeight="1">
      <c r="A139" s="337"/>
      <c r="B139" s="149"/>
      <c r="C139" s="166"/>
      <c r="D139" s="118"/>
      <c r="E139" s="149"/>
    </row>
    <row r="140" spans="1:5" ht="11.25" customHeight="1">
      <c r="A140" s="337"/>
      <c r="B140" s="149"/>
      <c r="C140" s="166"/>
      <c r="D140" s="118"/>
      <c r="E140" s="149"/>
    </row>
    <row r="141" spans="1:5" ht="11.25" customHeight="1">
      <c r="A141" s="337"/>
      <c r="B141" s="149"/>
      <c r="C141" s="166"/>
      <c r="D141" s="118"/>
      <c r="E141" s="149"/>
    </row>
    <row r="142" spans="1:5" ht="11.25" customHeight="1">
      <c r="A142" s="337"/>
      <c r="B142" s="149"/>
      <c r="C142" s="166"/>
      <c r="D142" s="118"/>
      <c r="E142" s="149"/>
    </row>
    <row r="143" spans="1:5" ht="11.25" customHeight="1">
      <c r="A143" s="337"/>
      <c r="B143" s="149"/>
      <c r="C143" s="166"/>
      <c r="D143" s="118"/>
      <c r="E143" s="149"/>
    </row>
    <row r="144" spans="1:5" ht="11.25" customHeight="1">
      <c r="A144" s="337"/>
      <c r="B144" s="149"/>
      <c r="C144" s="166"/>
      <c r="D144" s="118"/>
      <c r="E144" s="149"/>
    </row>
    <row r="145" spans="1:5" ht="11.25" customHeight="1">
      <c r="A145" s="337"/>
      <c r="B145" s="149"/>
      <c r="C145" s="166"/>
      <c r="D145" s="118"/>
      <c r="E145" s="149"/>
    </row>
    <row r="146" spans="1:5" ht="11.25" customHeight="1">
      <c r="A146" s="337"/>
      <c r="B146" s="149"/>
      <c r="C146" s="166"/>
      <c r="D146" s="118"/>
      <c r="E146" s="149"/>
    </row>
    <row r="147" spans="1:5" ht="11.25" customHeight="1">
      <c r="A147" s="337"/>
      <c r="B147" s="149"/>
      <c r="C147" s="166"/>
      <c r="D147" s="118"/>
      <c r="E147" s="149"/>
    </row>
    <row r="148" spans="1:5" ht="11.25" customHeight="1">
      <c r="A148" s="337"/>
      <c r="B148" s="149"/>
      <c r="C148" s="166"/>
      <c r="D148" s="118"/>
      <c r="E148" s="149"/>
    </row>
    <row r="149" spans="1:5" ht="11.25" customHeight="1">
      <c r="A149" s="337"/>
      <c r="B149" s="149"/>
      <c r="C149" s="166"/>
      <c r="D149" s="118"/>
      <c r="E149" s="149"/>
    </row>
    <row r="150" spans="1:5" ht="11.25" customHeight="1">
      <c r="A150" s="337"/>
      <c r="B150" s="149"/>
      <c r="C150" s="166"/>
      <c r="D150" s="118"/>
      <c r="E150" s="149"/>
    </row>
    <row r="151" spans="1:5" ht="11.25" customHeight="1">
      <c r="A151" s="337"/>
      <c r="B151" s="149"/>
      <c r="C151" s="166"/>
      <c r="D151" s="118"/>
      <c r="E151" s="149"/>
    </row>
    <row r="152" spans="1:5" ht="11.25" customHeight="1">
      <c r="A152" s="337"/>
      <c r="B152" s="149"/>
      <c r="C152" s="166"/>
      <c r="D152" s="118"/>
      <c r="E152" s="149"/>
    </row>
    <row r="153" spans="1:5" ht="11.25" customHeight="1">
      <c r="A153" s="337"/>
      <c r="B153" s="149"/>
      <c r="C153" s="166"/>
      <c r="D153" s="118"/>
      <c r="E153" s="149"/>
    </row>
    <row r="154" spans="1:5" ht="11.25" customHeight="1">
      <c r="A154" s="337"/>
      <c r="B154" s="149"/>
      <c r="C154" s="166"/>
      <c r="D154" s="118"/>
      <c r="E154" s="149"/>
    </row>
    <row r="155" spans="1:5" ht="11.25" customHeight="1">
      <c r="A155" s="337"/>
      <c r="B155" s="149"/>
      <c r="C155" s="166"/>
      <c r="D155" s="118"/>
      <c r="E155" s="149"/>
    </row>
    <row r="156" spans="1:5" ht="11.25" customHeight="1">
      <c r="A156" s="337"/>
      <c r="B156" s="149"/>
      <c r="C156" s="166"/>
      <c r="D156" s="118"/>
      <c r="E156" s="149"/>
    </row>
    <row r="157" spans="1:5" ht="11.25" customHeight="1">
      <c r="A157" s="337"/>
      <c r="B157" s="149"/>
      <c r="C157" s="166"/>
      <c r="D157" s="118"/>
      <c r="E157" s="149"/>
    </row>
    <row r="158" spans="1:5" ht="11.25" customHeight="1">
      <c r="A158" s="337"/>
      <c r="B158" s="149"/>
      <c r="C158" s="166"/>
      <c r="D158" s="118"/>
      <c r="E158" s="149"/>
    </row>
    <row r="159" spans="1:5" ht="11.25" customHeight="1">
      <c r="A159" s="337"/>
      <c r="B159" s="149"/>
      <c r="C159" s="166"/>
      <c r="D159" s="118"/>
      <c r="E159" s="149"/>
    </row>
    <row r="160" spans="1:5" ht="11.25" customHeight="1">
      <c r="A160" s="337"/>
      <c r="B160" s="149"/>
      <c r="C160" s="166"/>
      <c r="D160" s="118"/>
      <c r="E160" s="149"/>
    </row>
    <row r="161" spans="1:5" ht="11.25" customHeight="1">
      <c r="A161" s="337"/>
      <c r="B161" s="149"/>
      <c r="C161" s="166"/>
      <c r="D161" s="118"/>
      <c r="E161" s="149"/>
    </row>
    <row r="162" spans="1:5" ht="11.25" customHeight="1">
      <c r="A162" s="337"/>
      <c r="B162" s="149"/>
      <c r="C162" s="166"/>
      <c r="D162" s="118"/>
      <c r="E162" s="149"/>
    </row>
    <row r="163" spans="1:5" ht="11.25" customHeight="1">
      <c r="A163" s="337"/>
      <c r="B163" s="149"/>
      <c r="C163" s="166"/>
      <c r="D163" s="118"/>
      <c r="E163" s="149"/>
    </row>
    <row r="164" spans="1:5" ht="11.25" customHeight="1">
      <c r="A164" s="337"/>
      <c r="B164" s="149"/>
      <c r="C164" s="166"/>
      <c r="D164" s="118"/>
      <c r="E164" s="149"/>
    </row>
    <row r="165" spans="1:5" ht="11.25" customHeight="1">
      <c r="A165" s="337"/>
      <c r="B165" s="149"/>
      <c r="C165" s="166"/>
      <c r="D165" s="118"/>
      <c r="E165" s="149"/>
    </row>
    <row r="166" spans="1:5" ht="11.25" customHeight="1">
      <c r="A166" s="337"/>
      <c r="B166" s="149"/>
      <c r="C166" s="166"/>
      <c r="D166" s="118"/>
      <c r="E166" s="149"/>
    </row>
    <row r="167" spans="1:5" ht="11.25" customHeight="1">
      <c r="A167" s="337"/>
      <c r="B167" s="149"/>
      <c r="C167" s="166"/>
      <c r="D167" s="118"/>
      <c r="E167" s="149"/>
    </row>
    <row r="168" spans="1:5" ht="11.25" customHeight="1">
      <c r="A168" s="337"/>
      <c r="B168" s="149"/>
      <c r="C168" s="166"/>
      <c r="D168" s="118"/>
      <c r="E168" s="149"/>
    </row>
    <row r="169" spans="1:5" ht="11.25" customHeight="1">
      <c r="A169" s="337"/>
      <c r="B169" s="149"/>
      <c r="C169" s="166"/>
      <c r="D169" s="118"/>
      <c r="E169" s="149"/>
    </row>
    <row r="170" spans="1:5" ht="11.25" customHeight="1">
      <c r="A170" s="337"/>
      <c r="B170" s="149"/>
      <c r="C170" s="166"/>
      <c r="D170" s="118"/>
      <c r="E170" s="149"/>
    </row>
    <row r="171" spans="1:5" ht="11.25" customHeight="1">
      <c r="A171" s="337"/>
      <c r="B171" s="149"/>
      <c r="C171" s="166"/>
      <c r="D171" s="118"/>
      <c r="E171" s="149"/>
    </row>
    <row r="172" spans="1:5" ht="11.25" customHeight="1">
      <c r="A172" s="337"/>
      <c r="B172" s="149"/>
      <c r="C172" s="166"/>
      <c r="D172" s="118"/>
      <c r="E172" s="149"/>
    </row>
    <row r="173" spans="1:5" ht="11.25" customHeight="1">
      <c r="A173" s="337"/>
      <c r="B173" s="149"/>
      <c r="C173" s="166"/>
      <c r="D173" s="118"/>
      <c r="E173" s="149"/>
    </row>
    <row r="174" spans="1:5" ht="11.25" customHeight="1">
      <c r="A174" s="337"/>
      <c r="B174" s="149"/>
      <c r="C174" s="166"/>
      <c r="D174" s="118"/>
      <c r="E174" s="149"/>
    </row>
    <row r="175" spans="1:5" ht="11.25" customHeight="1">
      <c r="A175" s="337"/>
      <c r="B175" s="149"/>
      <c r="C175" s="166"/>
      <c r="D175" s="118"/>
      <c r="E175" s="149"/>
    </row>
    <row r="176" spans="1:5" ht="11.25" customHeight="1">
      <c r="A176" s="337"/>
      <c r="B176" s="149"/>
      <c r="C176" s="166"/>
      <c r="D176" s="118"/>
      <c r="E176" s="149"/>
    </row>
    <row r="177" spans="1:5" ht="11.25" customHeight="1">
      <c r="A177" s="337"/>
      <c r="B177" s="149"/>
      <c r="C177" s="166"/>
      <c r="D177" s="118"/>
      <c r="E177" s="149"/>
    </row>
    <row r="178" spans="1:5" ht="11.25" customHeight="1">
      <c r="A178" s="337"/>
      <c r="B178" s="149"/>
      <c r="C178" s="166"/>
      <c r="D178" s="118"/>
      <c r="E178" s="149"/>
    </row>
    <row r="179" spans="1:5" ht="11.25" customHeight="1">
      <c r="A179" s="337"/>
      <c r="B179" s="149"/>
      <c r="C179" s="166"/>
      <c r="D179" s="118"/>
      <c r="E179" s="149"/>
    </row>
    <row r="180" spans="1:5" ht="11.25" customHeight="1">
      <c r="A180" s="337"/>
      <c r="B180" s="149"/>
      <c r="C180" s="166"/>
      <c r="D180" s="118"/>
      <c r="E180" s="149"/>
    </row>
    <row r="181" spans="1:5" ht="11.25" customHeight="1">
      <c r="A181" s="337"/>
      <c r="B181" s="149"/>
      <c r="C181" s="166"/>
      <c r="D181" s="118"/>
      <c r="E181" s="149"/>
    </row>
    <row r="182" spans="1:5" ht="11.25" customHeight="1">
      <c r="A182" s="337"/>
      <c r="B182" s="149"/>
      <c r="C182" s="166"/>
      <c r="D182" s="118"/>
      <c r="E182" s="149"/>
    </row>
    <row r="183" spans="1:5" ht="11.25" customHeight="1">
      <c r="A183" s="337"/>
      <c r="B183" s="149"/>
      <c r="C183" s="166"/>
      <c r="D183" s="118"/>
      <c r="E183" s="149"/>
    </row>
    <row r="184" spans="1:5" ht="11.25" customHeight="1">
      <c r="A184" s="337"/>
      <c r="B184" s="149"/>
      <c r="C184" s="166"/>
      <c r="D184" s="118"/>
      <c r="E184" s="149"/>
    </row>
    <row r="185" spans="1:5" ht="11.25" customHeight="1">
      <c r="A185" s="337"/>
      <c r="B185" s="149"/>
      <c r="C185" s="166"/>
      <c r="D185" s="118"/>
      <c r="E185" s="149"/>
    </row>
    <row r="186" spans="1:5" ht="11.25" customHeight="1">
      <c r="A186" s="337"/>
      <c r="B186" s="149"/>
      <c r="C186" s="166"/>
      <c r="D186" s="118"/>
      <c r="E186" s="149"/>
    </row>
    <row r="187" spans="1:5" ht="11.25">
      <c r="A187" s="338"/>
      <c r="B187" s="150"/>
      <c r="C187" s="339"/>
      <c r="D187" s="133"/>
      <c r="E187" s="133"/>
    </row>
    <row r="188" spans="1:5" ht="25.5" customHeight="1">
      <c r="A188" s="342" t="str">
        <f>A97</f>
        <v>FONTE: Sistema &lt;sistema&gt;, Unidade Responsável: &lt;Unidade Responsável&gt;. Emissão: &lt;dd/mm/aaaa&gt;, às &lt;hh:mm:ss&gt;. Assinado Digitalmente no dia &lt;dd/mm/aaaa&gt;, às &lt;hh:mm:ss&gt;.</v>
      </c>
      <c r="B188" s="166"/>
      <c r="C188" s="166"/>
      <c r="D188" s="166"/>
      <c r="E188" s="166"/>
    </row>
    <row r="189" spans="1:5" ht="11.25">
      <c r="A189" s="744" t="str">
        <f>A98</f>
        <v>Notas: 1 Projeção atuarial elaborada em &lt;DATA DA AVALIAÇÃO&gt; e oficialmente enviada para o Ministério da Previdência Social – MPS.</v>
      </c>
      <c r="B189" s="744"/>
      <c r="C189" s="744"/>
      <c r="D189" s="744"/>
      <c r="E189" s="744"/>
    </row>
    <row r="190" spans="1:5" ht="11.25">
      <c r="A190" s="852" t="str">
        <f>A99</f>
        <v>2 Este Demonstrativo utiliza as seguintes hipóteses:
&lt;HIPÓTESE&gt;: &lt;VALOR&gt;</v>
      </c>
      <c r="B190" s="852"/>
      <c r="C190" s="852"/>
      <c r="D190" s="852"/>
      <c r="E190" s="852"/>
    </row>
    <row r="192" s="171" customFormat="1" ht="11.25" customHeight="1"/>
    <row r="193" spans="1:5" s="171" customFormat="1" ht="11.25" customHeight="1">
      <c r="A193" s="518" t="s">
        <v>1055</v>
      </c>
      <c r="C193" s="369"/>
      <c r="D193" s="518" t="s">
        <v>1057</v>
      </c>
      <c r="E193" s="369"/>
    </row>
    <row r="194" spans="1:5" s="171" customFormat="1" ht="11.25" customHeight="1">
      <c r="A194" s="518" t="s">
        <v>1056</v>
      </c>
      <c r="C194" s="369"/>
      <c r="D194" s="518" t="s">
        <v>1058</v>
      </c>
      <c r="E194" s="369"/>
    </row>
    <row r="195" spans="1:5" s="171" customFormat="1" ht="11.25" customHeight="1">
      <c r="A195" s="522"/>
      <c r="C195" s="369"/>
      <c r="D195" s="518" t="s">
        <v>1073</v>
      </c>
      <c r="E195" s="369"/>
    </row>
    <row r="196" s="171" customFormat="1" ht="11.25" customHeight="1"/>
    <row r="197" spans="1:5" ht="11.25" customHeight="1">
      <c r="A197" s="853">
        <f>IF(A106&lt;&gt;"",A106,"")</f>
      </c>
      <c r="B197" s="853"/>
      <c r="C197" s="341">
        <f>IF(C106&lt;&gt;"",C106,"")</f>
      </c>
      <c r="D197" s="853">
        <f>IF(D106&lt;&gt;"",D106,"")</f>
      </c>
      <c r="E197" s="853"/>
    </row>
    <row r="198" spans="1:4" ht="11.25" customHeight="1">
      <c r="A198" s="518" t="s">
        <v>1059</v>
      </c>
      <c r="D198" s="518" t="s">
        <v>1077</v>
      </c>
    </row>
    <row r="199" spans="1:4" ht="11.25" customHeight="1">
      <c r="A199" s="518" t="s">
        <v>1060</v>
      </c>
      <c r="D199" s="518" t="s">
        <v>1078</v>
      </c>
    </row>
    <row r="200" spans="1:4" ht="11.25" customHeight="1">
      <c r="A200" s="518" t="s">
        <v>1074</v>
      </c>
      <c r="D200" s="518" t="s">
        <v>1079</v>
      </c>
    </row>
  </sheetData>
  <sheetProtection/>
  <mergeCells count="16">
    <mergeCell ref="A197:B197"/>
    <mergeCell ref="D197:E197"/>
    <mergeCell ref="A11:E11"/>
    <mergeCell ref="A14:E14"/>
    <mergeCell ref="A15:E15"/>
    <mergeCell ref="A189:E189"/>
    <mergeCell ref="A190:E190"/>
    <mergeCell ref="A18:E18"/>
    <mergeCell ref="A109:E109"/>
    <mergeCell ref="A97:E97"/>
    <mergeCell ref="A98:E98"/>
    <mergeCell ref="A99:E99"/>
    <mergeCell ref="A104:B104"/>
    <mergeCell ref="D104:E104"/>
    <mergeCell ref="A105:B105"/>
    <mergeCell ref="D105:E105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landscape" paperSize="9" scale="9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 Henrique Bortoletto</cp:lastModifiedBy>
  <cp:lastPrinted>2021-03-24T12:34:12Z</cp:lastPrinted>
  <dcterms:created xsi:type="dcterms:W3CDTF">2004-08-09T19:29:24Z</dcterms:created>
  <dcterms:modified xsi:type="dcterms:W3CDTF">2021-03-24T12:34:31Z</dcterms:modified>
  <cp:category/>
  <cp:version/>
  <cp:contentType/>
  <cp:contentStatus/>
</cp:coreProperties>
</file>